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spropertyltd-my.sharepoint.com/personal/simon_gs-property_co_uk/Documents/Office Shared/Data/GSPD/McCarthy Property/Yeomanry House/Planning Docs &amp;  report/"/>
    </mc:Choice>
  </mc:AlternateContent>
  <xr:revisionPtr revIDLastSave="1" documentId="8_{F60843A8-8E0E-4D80-8427-B00CCC0510CE}" xr6:coauthVersionLast="47" xr6:coauthVersionMax="47" xr10:uidLastSave="{819A8A36-86F0-4D2D-BD7B-4D65DE001D97}"/>
  <bookViews>
    <workbookView xWindow="-98" yWindow="-98" windowWidth="21795" windowHeight="12975" xr2:uid="{00000000-000D-0000-FFFF-FFFF00000000}"/>
  </bookViews>
  <sheets>
    <sheet name="Read Me" sheetId="1" r:id="rId1"/>
    <sheet name="Inputs" sheetId="2" r:id="rId2"/>
    <sheet name="Unit Mix" sheetId="3" r:id="rId3"/>
    <sheet name="Costs" sheetId="4" r:id="rId4"/>
    <sheet name="Summary" sheetId="5" r:id="rId5"/>
    <sheet name="Sensitivit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E16" i="4"/>
  <c r="C16" i="4"/>
  <c r="C15" i="4"/>
  <c r="E15" i="4" s="1"/>
  <c r="C9" i="4"/>
  <c r="E9" i="4" s="1"/>
  <c r="C6" i="4"/>
  <c r="E6" i="4" s="1"/>
  <c r="C5" i="4"/>
  <c r="E5" i="4" s="1"/>
  <c r="D15" i="3"/>
  <c r="F12" i="3"/>
  <c r="I12" i="3" s="1"/>
  <c r="F11" i="3"/>
  <c r="I11" i="3" s="1"/>
  <c r="F10" i="3"/>
  <c r="I10" i="3" s="1"/>
  <c r="F9" i="3"/>
  <c r="I9" i="3" s="1"/>
  <c r="F8" i="3"/>
  <c r="I8" i="3" s="1"/>
  <c r="F7" i="3"/>
  <c r="I7" i="3" s="1"/>
  <c r="F6" i="3"/>
  <c r="I6" i="3" s="1"/>
  <c r="F5" i="3"/>
  <c r="I16" i="3" l="1"/>
  <c r="C8" i="4"/>
  <c r="E8" i="4" s="1"/>
  <c r="C7" i="4"/>
  <c r="E7" i="4" s="1"/>
  <c r="I5" i="3"/>
  <c r="I17" i="3" s="1"/>
  <c r="B5" i="5" l="1"/>
  <c r="C10" i="4"/>
  <c r="E10" i="4" s="1"/>
  <c r="E11" i="4" s="1"/>
  <c r="C17" i="4" l="1"/>
  <c r="E17" i="4" s="1"/>
  <c r="C19" i="4" l="1"/>
  <c r="E19" i="4" s="1"/>
  <c r="C18" i="4"/>
  <c r="E18" i="4" s="1"/>
  <c r="E20" i="4" l="1"/>
  <c r="B6" i="5" l="1"/>
  <c r="B7" i="5" s="1"/>
  <c r="E8" i="6"/>
  <c r="D8" i="6"/>
  <c r="C11" i="6"/>
  <c r="G11" i="6"/>
  <c r="E11" i="6"/>
  <c r="F7" i="6"/>
  <c r="D10" i="6"/>
  <c r="E10" i="6"/>
  <c r="G10" i="6"/>
  <c r="F8" i="6"/>
  <c r="F9" i="6"/>
  <c r="F10" i="6"/>
  <c r="C7" i="6"/>
  <c r="C8" i="6"/>
  <c r="C9" i="6"/>
  <c r="E9" i="6"/>
  <c r="E7" i="6"/>
  <c r="F11" i="6"/>
  <c r="G7" i="6"/>
  <c r="G8" i="6"/>
  <c r="C10" i="6"/>
  <c r="D9" i="6"/>
  <c r="G9" i="6"/>
  <c r="D7" i="6"/>
  <c r="D11" i="6"/>
  <c r="B15" i="5" l="1"/>
  <c r="B16" i="5" s="1"/>
  <c r="B10" i="5"/>
  <c r="B9" i="5"/>
  <c r="B8" i="5"/>
  <c r="B1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Source / note: Architect / planning drawings. Replace with project-specific evidence.</t>
        </r>
      </text>
    </comment>
    <comment ref="B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Source / note: Architect / measured schedule. Replace with project-specific evidence.</t>
        </r>
      </text>
    </comment>
    <comment ref="B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Source / note: QS / BCIS benchmark. Replace with project-specific evidence.</t>
        </r>
      </text>
    </comment>
    <comment ref="B8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Source / note: QS / engineer. Replace with project-specific evidence.</t>
        </r>
      </text>
    </comment>
    <comment ref="B9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Source / note: Purchase contract / valuation. Replace with project-specific evidence.</t>
        </r>
      </text>
    </comment>
    <comment ref="B10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Source / note: Solicitor / SDLT. Replace with project-specific evidence.</t>
        </r>
      </text>
    </comment>
    <comment ref="B1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Source / note: QS / consultant team. Replace with project-specific evidence.</t>
        </r>
      </text>
    </comment>
    <comment ref="B1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Source / note: QS. Replace with project-specific evidence.</t>
        </r>
      </text>
    </comment>
    <comment ref="B13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Source / note: Planning consultant / council. Replace with project-specific evidence.</t>
        </r>
      </text>
    </comment>
    <comment ref="B14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Source / note: Agent. Replace with project-specific evidence.</t>
        </r>
      </text>
    </comment>
    <comment ref="B15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Source / note: Lender term sheet. Replace with project-specific evidence.</t>
        </r>
      </text>
    </comment>
    <comment ref="B16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Source / note: Lender term sheet. Replace with project-specific evidence.</t>
        </r>
      </text>
    </comment>
    <comment ref="B17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Source / note: Developer hurdle. Replace with project-specific evidence.</t>
        </r>
      </text>
    </comment>
  </commentList>
</comments>
</file>

<file path=xl/sharedStrings.xml><?xml version="1.0" encoding="utf-8"?>
<sst xmlns="http://schemas.openxmlformats.org/spreadsheetml/2006/main" count="266" uniqueCount="146">
  <si>
    <t>Purpose</t>
  </si>
  <si>
    <t>Detailed appraisal template for a small residential scheme. Complete the yellow cells and replace indicative assumptions with live project inputs.</t>
  </si>
  <si>
    <t>How to use</t>
  </si>
  <si>
    <t>1) Fill in assumptions on Inputs, Unit Mix and Costs. 2) Review outputs on Summary. 3) Test movements on Sensitivity.</t>
  </si>
  <si>
    <t>Colour key</t>
  </si>
  <si>
    <t>Blue text / yellow fill = editable user inputs</t>
  </si>
  <si>
    <t>Black text = formulas / calculations</t>
  </si>
  <si>
    <t>Grey fill = static guidance</t>
  </si>
  <si>
    <t>Green fill = key linked outputs</t>
  </si>
  <si>
    <t>Orange fill = review / optional inputs</t>
  </si>
  <si>
    <t>Important</t>
  </si>
  <si>
    <t>Replace placeholder figures with agent advice, QS costings, planning/CIL assumptions and finance terms before relying on the model.</t>
  </si>
  <si>
    <t>Inputs &amp; Core Assumptions</t>
  </si>
  <si>
    <t>Scheme Inputs</t>
  </si>
  <si>
    <t>Assumption</t>
  </si>
  <si>
    <t>Value</t>
  </si>
  <si>
    <t>Unit</t>
  </si>
  <si>
    <t>Status</t>
  </si>
  <si>
    <t>Suggested Source</t>
  </si>
  <si>
    <t>Notes</t>
  </si>
  <si>
    <t>Number of units</t>
  </si>
  <si>
    <t>units</t>
  </si>
  <si>
    <t>Input</t>
  </si>
  <si>
    <t>Architect / planning drawings</t>
  </si>
  <si>
    <t>Total private units</t>
  </si>
  <si>
    <t>Gross internal area</t>
  </si>
  <si>
    <t>m2</t>
  </si>
  <si>
    <t>Architect / measured schedule</t>
  </si>
  <si>
    <t>Average build cost</t>
  </si>
  <si>
    <t>£/m2</t>
  </si>
  <si>
    <t>External works / abnormals</t>
  </si>
  <si>
    <t>£</t>
  </si>
  <si>
    <t>Land cost</t>
  </si>
  <si>
    <t>Purchase contract / valuation</t>
  </si>
  <si>
    <t>Net land acquisition</t>
  </si>
  <si>
    <t>Acquisition costs</t>
  </si>
  <si>
    <t>Solicitor / SDLT</t>
  </si>
  <si>
    <t>Professional fees</t>
  </si>
  <si>
    <t>% of build+externals</t>
  </si>
  <si>
    <t>Architect, engineer, planning, PM, BC</t>
  </si>
  <si>
    <t>Contingency</t>
  </si>
  <si>
    <t>QS</t>
  </si>
  <si>
    <t>Construction contingency</t>
  </si>
  <si>
    <t>CIL / s106 / planning contributions</t>
  </si>
  <si>
    <t>Planning consultant / council</t>
  </si>
  <si>
    <t>Sales &amp; marketing</t>
  </si>
  <si>
    <t>% of GDV</t>
  </si>
  <si>
    <t>Agent</t>
  </si>
  <si>
    <t>Agency, marketing, legal disposal</t>
  </si>
  <si>
    <t>Finance rate</t>
  </si>
  <si>
    <t>% annual</t>
  </si>
  <si>
    <t>Lender term sheet</t>
  </si>
  <si>
    <t>Arrangement / exit fees</t>
  </si>
  <si>
    <t>% of debt</t>
  </si>
  <si>
    <t>Target profit</t>
  </si>
  <si>
    <t>Developer hurdle</t>
  </si>
  <si>
    <t>Optional Planning Inputs</t>
  </si>
  <si>
    <t>Reading residential CIL rate</t>
  </si>
  <si>
    <t>Optional</t>
  </si>
  <si>
    <t>Council charging schedule</t>
  </si>
  <si>
    <t>Affordable housing revenue discount</t>
  </si>
  <si>
    <t>%</t>
  </si>
  <si>
    <t>Valuation</t>
  </si>
  <si>
    <t>Use only if testing AH impact</t>
  </si>
  <si>
    <t>Voids / incentives allowance</t>
  </si>
  <si>
    <t>Optional deduction from GDV</t>
  </si>
  <si>
    <t>Unit Mix, Areas and Sales Values</t>
  </si>
  <si>
    <t>Unit Schedule</t>
  </si>
  <si>
    <t>Unit No.</t>
  </si>
  <si>
    <t>Type</t>
  </si>
  <si>
    <t>Beds</t>
  </si>
  <si>
    <t>Value (£)</t>
  </si>
  <si>
    <t>Tenure/Test</t>
  </si>
  <si>
    <t>AH Discount</t>
  </si>
  <si>
    <t>Adjusted Value (£)</t>
  </si>
  <si>
    <t>Flat</t>
  </si>
  <si>
    <t>Private</t>
  </si>
  <si>
    <t/>
  </si>
  <si>
    <t>House</t>
  </si>
  <si>
    <t>Total area</t>
  </si>
  <si>
    <t>Base GDV</t>
  </si>
  <si>
    <t>Adjusted GDV</t>
  </si>
  <si>
    <t>Development Cost Plan</t>
  </si>
  <si>
    <t>Direct Costs</t>
  </si>
  <si>
    <t>Cost Item</t>
  </si>
  <si>
    <t>Basis</t>
  </si>
  <si>
    <t>Input / Formula</t>
  </si>
  <si>
    <t>Amount (£)</t>
  </si>
  <si>
    <t>Build cost</t>
  </si>
  <si>
    <t>GIA x build rate</t>
  </si>
  <si>
    <t>Linked</t>
  </si>
  <si>
    <t>From Inputs</t>
  </si>
  <si>
    <t>% of direct costs</t>
  </si>
  <si>
    <t>Planning / CIL / s106</t>
  </si>
  <si>
    <t>From Unit Mix / Inputs</t>
  </si>
  <si>
    <t>Total cost before land &amp; finance</t>
  </si>
  <si>
    <t>Land, Acquisition and Finance</t>
  </si>
  <si>
    <t>Average debt base (helper only)</t>
  </si>
  <si>
    <t>Simple timing assumption</t>
  </si>
  <si>
    <t>Calc</t>
  </si>
  <si>
    <t>Approximate average debt base</t>
  </si>
  <si>
    <t>Interest</t>
  </si>
  <si>
    <t>Debt base x rate</t>
  </si>
  <si>
    <t>Simple annual interest estimate</t>
  </si>
  <si>
    <t>% of debt base</t>
  </si>
  <si>
    <t>Debt fee estimate</t>
  </si>
  <si>
    <t>Total Development Cost</t>
  </si>
  <si>
    <t>Appraisal Summary</t>
  </si>
  <si>
    <t>Core Outputs</t>
  </si>
  <si>
    <t>Metric</t>
  </si>
  <si>
    <t>Amount</t>
  </si>
  <si>
    <t>Benchmark</t>
  </si>
  <si>
    <t>Comment</t>
  </si>
  <si>
    <t>Sum of unit values after any discount</t>
  </si>
  <si>
    <t>From cost plan</t>
  </si>
  <si>
    <t>Developer Profit</t>
  </si>
  <si>
    <t>GDV less TDC</t>
  </si>
  <si>
    <t>Profit on GDV</t>
  </si>
  <si>
    <t>Compare against target</t>
  </si>
  <si>
    <t>Profit on Cost</t>
  </si>
  <si>
    <t>Return on total cost</t>
  </si>
  <si>
    <t>Residual to land owner / additional burden</t>
  </si>
  <si>
    <t>Surplus above target profit</t>
  </si>
  <si>
    <t>Viability Test</t>
  </si>
  <si>
    <t>Meets target profit?</t>
  </si>
  <si>
    <t>Surplus / (shortfall) to target</t>
  </si>
  <si>
    <t>Maximum extra planning burden before target missed</t>
  </si>
  <si>
    <t>Profit on GDV Sensitivity</t>
  </si>
  <si>
    <t>Tests profit on GDV under different sale value and build cost movements.</t>
  </si>
  <si>
    <t>Scenario Grid</t>
  </si>
  <si>
    <t>Build cost movement</t>
  </si>
  <si>
    <t>Area (ft/2)</t>
  </si>
  <si>
    <t>Rate (£/ft2)</t>
  </si>
  <si>
    <t>DEVELOPMENT NOT LIABILE FOR CIL</t>
  </si>
  <si>
    <t>Gross internal floor area</t>
  </si>
  <si>
    <t xml:space="preserve"> </t>
  </si>
  <si>
    <t>Source</t>
  </si>
  <si>
    <t>Main Contractors quoptation</t>
  </si>
  <si>
    <t>Ditto</t>
  </si>
  <si>
    <t>Assumed no CIL payablke</t>
  </si>
  <si>
    <t>Srtamp duty £55,000 legals £5,000</t>
  </si>
  <si>
    <t>External works £232,590 + Asbestos removal £57,800 + £170,000 (10%) listed building  = £460,390</t>
  </si>
  <si>
    <t>G S Property Developments quotation £1,714,346 - £460,390 external works and abnormals (see line below)</t>
  </si>
  <si>
    <t>FINANCE EXCLUDED FROM THIS REPORT AT THIS TIME - TBA</t>
  </si>
  <si>
    <t xml:space="preserve">17.5% Target </t>
  </si>
  <si>
    <t>YEOMANRY HOUSE  - Residential Development Viability Model - 8 Unit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</si>
</sst>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\£#,##0;[Red]\(\£#,##0\);\-"/>
    <numFmt numFmtId="166" formatCode="0.0%;[Red]\(0.0%\);\-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 wrapText="1"/>
    </xf>
    <xf numFmtId="165" fontId="4" fillId="4" borderId="2" xfId="0" applyNumberFormat="1" applyFont="1" applyFill="1" applyBorder="1" applyAlignment="1">
      <alignment vertical="center" wrapText="1"/>
    </xf>
    <xf numFmtId="166" fontId="4" fillId="4" borderId="2" xfId="0" applyNumberFormat="1" applyFont="1" applyFill="1" applyBorder="1" applyAlignment="1">
      <alignment vertical="center" wrapText="1"/>
    </xf>
    <xf numFmtId="165" fontId="4" fillId="6" borderId="2" xfId="0" applyNumberFormat="1" applyFont="1" applyFill="1" applyBorder="1" applyAlignment="1">
      <alignment vertical="center" wrapText="1"/>
    </xf>
    <xf numFmtId="166" fontId="4" fillId="6" borderId="2" xfId="0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5" borderId="0" xfId="0" applyNumberFormat="1" applyFont="1" applyFill="1" applyAlignment="1">
      <alignment vertical="center" wrapText="1"/>
    </xf>
    <xf numFmtId="165" fontId="2" fillId="5" borderId="0" xfId="0" applyNumberFormat="1" applyFont="1" applyFill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6" fontId="3" fillId="0" borderId="2" xfId="0" applyNumberFormat="1" applyFont="1" applyBorder="1" applyAlignment="1">
      <alignment vertical="center" wrapText="1"/>
    </xf>
    <xf numFmtId="166" fontId="0" fillId="0" borderId="2" xfId="0" applyNumberFormat="1" applyBorder="1" applyAlignment="1">
      <alignment vertical="center" wrapText="1"/>
    </xf>
    <xf numFmtId="165" fontId="2" fillId="6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66" fontId="2" fillId="3" borderId="0" xfId="0" applyNumberFormat="1" applyFont="1" applyFill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0" fontId="0" fillId="7" borderId="2" xfId="0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190500</xdr:colOff>
      <xdr:row>22</xdr:row>
      <xdr:rowOff>114300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A0DA3D38-76C4-9D47-05B8-9E9722FDDAF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4762500" cy="476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190500</xdr:colOff>
      <xdr:row>22</xdr:row>
      <xdr:rowOff>114300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E17FC3D5-C258-F036-5411-ABC58F52B4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762500" cy="548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190500</xdr:colOff>
      <xdr:row>22</xdr:row>
      <xdr:rowOff>114300</xdr:rowOff>
    </xdr:to>
    <xdr:sp macro="" textlink="">
      <xdr:nvSpPr>
        <xdr:cNvPr id="3" name="AutoShape 14">
          <a:extLst>
            <a:ext uri="{FF2B5EF4-FFF2-40B4-BE49-F238E27FC236}">
              <a16:creationId xmlns:a16="http://schemas.microsoft.com/office/drawing/2014/main" id="{97FF51F0-3583-3FF6-25B2-43C47A07C51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762500" cy="548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workbookViewId="0">
      <selection activeCell="B4" sqref="B4"/>
    </sheetView>
  </sheetViews>
  <sheetFormatPr defaultRowHeight="14.25" x14ac:dyDescent="0.45"/>
  <cols>
    <col min="1" max="1" width="22" customWidth="1"/>
    <col min="2" max="2" width="70" customWidth="1"/>
    <col min="3" max="8" width="12" customWidth="1"/>
  </cols>
  <sheetData>
    <row r="1" spans="1:8" ht="24" customHeight="1" x14ac:dyDescent="0.45">
      <c r="A1" s="30" t="s">
        <v>145</v>
      </c>
      <c r="B1" s="29"/>
      <c r="C1" s="29"/>
      <c r="D1" s="29"/>
      <c r="E1" s="29"/>
      <c r="F1" s="29"/>
      <c r="G1" s="29"/>
      <c r="H1" s="29"/>
    </row>
    <row r="3" spans="1:8" ht="26.25" x14ac:dyDescent="0.45">
      <c r="A3" s="1" t="s">
        <v>0</v>
      </c>
      <c r="B3" s="2" t="s">
        <v>1</v>
      </c>
      <c r="C3" s="3"/>
      <c r="D3" s="3"/>
      <c r="E3" s="3"/>
      <c r="F3" s="3"/>
      <c r="G3" s="3"/>
      <c r="H3" s="3"/>
    </row>
    <row r="4" spans="1:8" x14ac:dyDescent="0.45">
      <c r="A4" s="3"/>
      <c r="B4" s="3"/>
      <c r="C4" s="3"/>
      <c r="D4" s="3"/>
      <c r="E4" s="3"/>
      <c r="F4" s="3"/>
      <c r="G4" s="3"/>
      <c r="H4" s="3"/>
    </row>
    <row r="5" spans="1:8" ht="26.25" x14ac:dyDescent="0.45">
      <c r="A5" s="1" t="s">
        <v>2</v>
      </c>
      <c r="B5" s="2" t="s">
        <v>3</v>
      </c>
      <c r="C5" s="3"/>
      <c r="D5" s="3"/>
      <c r="E5" s="3"/>
      <c r="F5" s="3"/>
      <c r="G5" s="3"/>
      <c r="H5" s="3"/>
    </row>
    <row r="6" spans="1:8" x14ac:dyDescent="0.45">
      <c r="A6" s="3"/>
      <c r="B6" s="3"/>
      <c r="C6" s="3"/>
      <c r="D6" s="3"/>
      <c r="E6" s="3"/>
      <c r="F6" s="3"/>
      <c r="G6" s="3"/>
      <c r="H6" s="3"/>
    </row>
    <row r="7" spans="1:8" x14ac:dyDescent="0.45">
      <c r="A7" s="1" t="s">
        <v>4</v>
      </c>
      <c r="B7" s="4" t="s">
        <v>5</v>
      </c>
      <c r="C7" s="3"/>
      <c r="D7" s="3"/>
      <c r="E7" s="3"/>
      <c r="F7" s="3"/>
      <c r="G7" s="3"/>
      <c r="H7" s="3"/>
    </row>
    <row r="8" spans="1:8" x14ac:dyDescent="0.45">
      <c r="A8" s="3"/>
      <c r="B8" s="2" t="s">
        <v>6</v>
      </c>
      <c r="C8" s="3"/>
      <c r="D8" s="3"/>
      <c r="E8" s="3"/>
      <c r="F8" s="3"/>
      <c r="G8" s="3"/>
      <c r="H8" s="3"/>
    </row>
    <row r="9" spans="1:8" x14ac:dyDescent="0.45">
      <c r="A9" s="3"/>
      <c r="B9" s="5" t="s">
        <v>7</v>
      </c>
      <c r="C9" s="3"/>
      <c r="D9" s="3"/>
      <c r="E9" s="3"/>
      <c r="F9" s="3"/>
      <c r="G9" s="3"/>
      <c r="H9" s="3"/>
    </row>
    <row r="10" spans="1:8" x14ac:dyDescent="0.45">
      <c r="A10" s="3"/>
      <c r="B10" s="6" t="s">
        <v>8</v>
      </c>
      <c r="C10" s="3"/>
      <c r="D10" s="3"/>
      <c r="E10" s="3"/>
      <c r="F10" s="3"/>
      <c r="G10" s="3"/>
      <c r="H10" s="3"/>
    </row>
    <row r="11" spans="1:8" x14ac:dyDescent="0.45">
      <c r="A11" s="3"/>
      <c r="B11" s="7" t="s">
        <v>9</v>
      </c>
      <c r="C11" s="3"/>
      <c r="D11" s="3"/>
      <c r="E11" s="3"/>
      <c r="F11" s="3"/>
      <c r="G11" s="3"/>
      <c r="H11" s="3"/>
    </row>
    <row r="12" spans="1:8" x14ac:dyDescent="0.45">
      <c r="A12" s="3"/>
      <c r="B12" s="3"/>
      <c r="C12" s="3"/>
      <c r="D12" s="3"/>
      <c r="E12" s="3"/>
      <c r="F12" s="3"/>
      <c r="G12" s="3"/>
      <c r="H12" s="3"/>
    </row>
    <row r="13" spans="1:8" ht="26.25" x14ac:dyDescent="0.45">
      <c r="A13" s="1" t="s">
        <v>10</v>
      </c>
      <c r="B13" s="2" t="s">
        <v>11</v>
      </c>
      <c r="C13" s="3"/>
      <c r="D13" s="3"/>
      <c r="E13" s="3"/>
      <c r="F13" s="3"/>
      <c r="G13" s="3"/>
      <c r="H13" s="3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showGridLines="0" topLeftCell="A8" workbookViewId="0">
      <selection activeCell="F21" sqref="F21"/>
    </sheetView>
  </sheetViews>
  <sheetFormatPr defaultRowHeight="14.25" x14ac:dyDescent="0.45"/>
  <cols>
    <col min="1" max="1" width="30" customWidth="1"/>
    <col min="2" max="2" width="16" customWidth="1"/>
    <col min="3" max="3" width="18" customWidth="1"/>
    <col min="4" max="4" width="14" customWidth="1"/>
    <col min="5" max="5" width="24" customWidth="1"/>
    <col min="6" max="6" width="32" customWidth="1"/>
  </cols>
  <sheetData>
    <row r="1" spans="1:6" ht="24" customHeight="1" x14ac:dyDescent="0.45">
      <c r="A1" s="30" t="s">
        <v>12</v>
      </c>
      <c r="B1" s="29"/>
      <c r="C1" s="29"/>
      <c r="D1" s="29"/>
      <c r="E1" s="29"/>
      <c r="F1" s="29"/>
    </row>
    <row r="3" spans="1:6" x14ac:dyDescent="0.45">
      <c r="A3" s="28" t="s">
        <v>13</v>
      </c>
      <c r="B3" s="29"/>
      <c r="C3" s="29"/>
      <c r="D3" s="29"/>
      <c r="E3" s="29"/>
      <c r="F3" s="29"/>
    </row>
    <row r="4" spans="1:6" x14ac:dyDescent="0.45">
      <c r="A4" s="8" t="s">
        <v>14</v>
      </c>
      <c r="B4" s="8" t="s">
        <v>15</v>
      </c>
      <c r="C4" s="8" t="s">
        <v>16</v>
      </c>
      <c r="D4" s="8" t="s">
        <v>17</v>
      </c>
      <c r="E4" s="8" t="s">
        <v>136</v>
      </c>
      <c r="F4" s="8" t="s">
        <v>19</v>
      </c>
    </row>
    <row r="5" spans="1:6" ht="28.5" x14ac:dyDescent="0.45">
      <c r="A5" s="9" t="s">
        <v>20</v>
      </c>
      <c r="B5" s="10">
        <v>8</v>
      </c>
      <c r="C5" s="9" t="s">
        <v>21</v>
      </c>
      <c r="D5" s="9" t="s">
        <v>22</v>
      </c>
      <c r="E5" s="9" t="s">
        <v>23</v>
      </c>
      <c r="F5" s="9" t="s">
        <v>24</v>
      </c>
    </row>
    <row r="6" spans="1:6" ht="28.5" x14ac:dyDescent="0.45">
      <c r="A6" s="9" t="s">
        <v>25</v>
      </c>
      <c r="B6" s="10">
        <v>726</v>
      </c>
      <c r="C6" s="9" t="s">
        <v>26</v>
      </c>
      <c r="D6" s="9" t="s">
        <v>22</v>
      </c>
      <c r="E6" s="9" t="s">
        <v>27</v>
      </c>
      <c r="F6" s="9" t="s">
        <v>134</v>
      </c>
    </row>
    <row r="7" spans="1:6" ht="42.75" x14ac:dyDescent="0.45">
      <c r="A7" s="9" t="s">
        <v>28</v>
      </c>
      <c r="B7" s="11">
        <v>1727</v>
      </c>
      <c r="C7" s="9" t="s">
        <v>29</v>
      </c>
      <c r="D7" s="9" t="s">
        <v>22</v>
      </c>
      <c r="E7" s="9" t="s">
        <v>137</v>
      </c>
      <c r="F7" s="9" t="s">
        <v>142</v>
      </c>
    </row>
    <row r="8" spans="1:6" ht="42.75" x14ac:dyDescent="0.45">
      <c r="A8" s="9" t="s">
        <v>30</v>
      </c>
      <c r="B8" s="11">
        <v>460390</v>
      </c>
      <c r="C8" s="9" t="s">
        <v>31</v>
      </c>
      <c r="D8" s="9" t="s">
        <v>22</v>
      </c>
      <c r="E8" s="9" t="s">
        <v>138</v>
      </c>
      <c r="F8" s="9" t="s">
        <v>141</v>
      </c>
    </row>
    <row r="9" spans="1:6" x14ac:dyDescent="0.45">
      <c r="A9" s="9" t="s">
        <v>32</v>
      </c>
      <c r="B9" s="11">
        <v>1100000</v>
      </c>
      <c r="C9" s="9" t="s">
        <v>31</v>
      </c>
      <c r="D9" s="9" t="s">
        <v>22</v>
      </c>
      <c r="E9" s="9" t="s">
        <v>33</v>
      </c>
      <c r="F9" s="9" t="s">
        <v>34</v>
      </c>
    </row>
    <row r="10" spans="1:6" x14ac:dyDescent="0.45">
      <c r="A10" s="9" t="s">
        <v>35</v>
      </c>
      <c r="B10" s="11">
        <v>60000</v>
      </c>
      <c r="C10" s="9" t="s">
        <v>31</v>
      </c>
      <c r="D10" s="9" t="s">
        <v>22</v>
      </c>
      <c r="E10" s="9" t="s">
        <v>36</v>
      </c>
      <c r="F10" s="9" t="s">
        <v>140</v>
      </c>
    </row>
    <row r="11" spans="1:6" x14ac:dyDescent="0.45">
      <c r="A11" s="9" t="s">
        <v>37</v>
      </c>
      <c r="B11" s="12">
        <v>7.4999999999999997E-2</v>
      </c>
      <c r="C11" s="9" t="s">
        <v>38</v>
      </c>
      <c r="D11" s="9" t="s">
        <v>22</v>
      </c>
      <c r="E11" s="9" t="s">
        <v>135</v>
      </c>
      <c r="F11" s="9" t="s">
        <v>39</v>
      </c>
    </row>
    <row r="12" spans="1:6" x14ac:dyDescent="0.45">
      <c r="A12" s="9" t="s">
        <v>40</v>
      </c>
      <c r="B12" s="12">
        <v>0.05</v>
      </c>
      <c r="C12" s="9" t="s">
        <v>38</v>
      </c>
      <c r="D12" s="9" t="s">
        <v>22</v>
      </c>
      <c r="E12" s="9" t="s">
        <v>41</v>
      </c>
      <c r="F12" s="9" t="s">
        <v>42</v>
      </c>
    </row>
    <row r="13" spans="1:6" x14ac:dyDescent="0.45">
      <c r="A13" s="9" t="s">
        <v>43</v>
      </c>
      <c r="B13" s="11">
        <v>0</v>
      </c>
      <c r="C13" s="9" t="s">
        <v>31</v>
      </c>
      <c r="D13" s="9" t="s">
        <v>22</v>
      </c>
      <c r="E13" s="9" t="s">
        <v>44</v>
      </c>
      <c r="F13" s="9" t="s">
        <v>139</v>
      </c>
    </row>
    <row r="14" spans="1:6" x14ac:dyDescent="0.45">
      <c r="A14" s="9" t="s">
        <v>45</v>
      </c>
      <c r="B14" s="12">
        <v>2.2499999999999999E-2</v>
      </c>
      <c r="C14" s="9" t="s">
        <v>46</v>
      </c>
      <c r="D14" s="9" t="s">
        <v>22</v>
      </c>
      <c r="E14" s="9" t="s">
        <v>47</v>
      </c>
      <c r="F14" s="9" t="s">
        <v>48</v>
      </c>
    </row>
    <row r="15" spans="1:6" ht="28.5" x14ac:dyDescent="0.45">
      <c r="A15" s="9" t="s">
        <v>49</v>
      </c>
      <c r="B15" s="12">
        <v>0</v>
      </c>
      <c r="C15" s="9" t="s">
        <v>50</v>
      </c>
      <c r="D15" s="9" t="s">
        <v>22</v>
      </c>
      <c r="E15" s="9" t="s">
        <v>51</v>
      </c>
      <c r="F15" s="27" t="s">
        <v>143</v>
      </c>
    </row>
    <row r="16" spans="1:6" x14ac:dyDescent="0.45">
      <c r="A16" s="9" t="s">
        <v>52</v>
      </c>
      <c r="B16" s="12">
        <v>0</v>
      </c>
      <c r="C16" s="9" t="s">
        <v>53</v>
      </c>
      <c r="D16" s="9" t="s">
        <v>22</v>
      </c>
      <c r="E16" s="9" t="s">
        <v>51</v>
      </c>
      <c r="F16" s="9" t="s">
        <v>135</v>
      </c>
    </row>
    <row r="17" spans="1:6" x14ac:dyDescent="0.45">
      <c r="A17" s="9" t="s">
        <v>54</v>
      </c>
      <c r="B17" s="12">
        <v>0.17499999999999999</v>
      </c>
      <c r="C17" s="9" t="s">
        <v>46</v>
      </c>
      <c r="D17" s="9" t="s">
        <v>22</v>
      </c>
      <c r="E17" s="9" t="s">
        <v>55</v>
      </c>
      <c r="F17" s="9" t="s">
        <v>144</v>
      </c>
    </row>
    <row r="18" spans="1:6" x14ac:dyDescent="0.45">
      <c r="A18" s="3"/>
      <c r="B18" s="3"/>
      <c r="C18" s="3"/>
      <c r="D18" s="3"/>
      <c r="E18" s="3"/>
      <c r="F18" s="3"/>
    </row>
    <row r="19" spans="1:6" x14ac:dyDescent="0.45">
      <c r="A19" s="28" t="s">
        <v>56</v>
      </c>
      <c r="B19" s="29"/>
      <c r="C19" s="29"/>
      <c r="D19" s="29"/>
      <c r="E19" s="29"/>
      <c r="F19" s="29"/>
    </row>
    <row r="20" spans="1:6" x14ac:dyDescent="0.45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18</v>
      </c>
      <c r="F20" s="1" t="s">
        <v>19</v>
      </c>
    </row>
    <row r="21" spans="1:6" x14ac:dyDescent="0.45">
      <c r="A21" s="9" t="s">
        <v>57</v>
      </c>
      <c r="B21" s="13">
        <v>0</v>
      </c>
      <c r="C21" s="9" t="s">
        <v>29</v>
      </c>
      <c r="D21" s="9" t="s">
        <v>58</v>
      </c>
      <c r="E21" s="9" t="s">
        <v>59</v>
      </c>
      <c r="F21" s="9" t="s">
        <v>133</v>
      </c>
    </row>
    <row r="22" spans="1:6" x14ac:dyDescent="0.45">
      <c r="A22" s="9" t="s">
        <v>60</v>
      </c>
      <c r="B22" s="14">
        <v>0.3</v>
      </c>
      <c r="C22" s="9" t="s">
        <v>61</v>
      </c>
      <c r="D22" s="9" t="s">
        <v>58</v>
      </c>
      <c r="E22" s="9" t="s">
        <v>62</v>
      </c>
      <c r="F22" s="9" t="s">
        <v>63</v>
      </c>
    </row>
    <row r="23" spans="1:6" x14ac:dyDescent="0.45">
      <c r="A23" s="9" t="s">
        <v>64</v>
      </c>
      <c r="B23" s="14">
        <v>5.0000000000000001E-3</v>
      </c>
      <c r="C23" s="9" t="s">
        <v>46</v>
      </c>
      <c r="D23" s="9" t="s">
        <v>58</v>
      </c>
      <c r="E23" s="9" t="s">
        <v>47</v>
      </c>
      <c r="F23" s="9" t="s">
        <v>65</v>
      </c>
    </row>
  </sheetData>
  <mergeCells count="3">
    <mergeCell ref="A3:F3"/>
    <mergeCell ref="A19:F19"/>
    <mergeCell ref="A1:F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workbookViewId="0">
      <selection activeCell="B17" sqref="B17"/>
    </sheetView>
  </sheetViews>
  <sheetFormatPr defaultRowHeight="14.25" x14ac:dyDescent="0.45"/>
  <cols>
    <col min="1" max="1" width="10" customWidth="1"/>
    <col min="2" max="2" width="12" customWidth="1"/>
    <col min="3" max="3" width="10" customWidth="1"/>
    <col min="4" max="4" width="12" customWidth="1"/>
    <col min="5" max="8" width="14" customWidth="1"/>
    <col min="9" max="9" width="16" customWidth="1"/>
    <col min="10" max="10" width="18" customWidth="1"/>
  </cols>
  <sheetData>
    <row r="1" spans="1:10" ht="24" customHeight="1" x14ac:dyDescent="0.45">
      <c r="A1" s="30" t="s">
        <v>66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5">
      <c r="A3" s="28" t="s">
        <v>67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45">
      <c r="A4" s="8" t="s">
        <v>68</v>
      </c>
      <c r="B4" s="8" t="s">
        <v>69</v>
      </c>
      <c r="C4" s="8" t="s">
        <v>70</v>
      </c>
      <c r="D4" s="8" t="s">
        <v>131</v>
      </c>
      <c r="E4" s="8" t="s">
        <v>132</v>
      </c>
      <c r="F4" s="8" t="s">
        <v>71</v>
      </c>
      <c r="G4" s="8" t="s">
        <v>72</v>
      </c>
      <c r="H4" s="8" t="s">
        <v>73</v>
      </c>
      <c r="I4" s="8" t="s">
        <v>74</v>
      </c>
      <c r="J4" s="8" t="s">
        <v>19</v>
      </c>
    </row>
    <row r="5" spans="1:10" x14ac:dyDescent="0.45">
      <c r="A5" s="15">
        <v>1</v>
      </c>
      <c r="B5" s="15" t="s">
        <v>75</v>
      </c>
      <c r="C5" s="15">
        <v>1</v>
      </c>
      <c r="D5" s="10">
        <v>500</v>
      </c>
      <c r="E5" s="11">
        <v>550</v>
      </c>
      <c r="F5" s="16">
        <f t="shared" ref="F5:F12" si="0">D5*E5</f>
        <v>275000</v>
      </c>
      <c r="G5" s="15" t="s">
        <v>76</v>
      </c>
      <c r="H5" s="12">
        <v>0</v>
      </c>
      <c r="I5" s="16">
        <f t="shared" ref="I5:I12" si="1">F5*(1-H5)</f>
        <v>275000</v>
      </c>
      <c r="J5" s="15" t="s">
        <v>77</v>
      </c>
    </row>
    <row r="6" spans="1:10" x14ac:dyDescent="0.45">
      <c r="A6" s="15">
        <v>2</v>
      </c>
      <c r="B6" s="15" t="s">
        <v>75</v>
      </c>
      <c r="C6" s="15">
        <v>1</v>
      </c>
      <c r="D6" s="10">
        <v>580</v>
      </c>
      <c r="E6" s="11">
        <v>517.24</v>
      </c>
      <c r="F6" s="16">
        <f t="shared" si="0"/>
        <v>299999.2</v>
      </c>
      <c r="G6" s="15" t="s">
        <v>76</v>
      </c>
      <c r="H6" s="12">
        <v>0</v>
      </c>
      <c r="I6" s="16">
        <f t="shared" si="1"/>
        <v>299999.2</v>
      </c>
      <c r="J6" s="15" t="s">
        <v>77</v>
      </c>
    </row>
    <row r="7" spans="1:10" x14ac:dyDescent="0.45">
      <c r="A7" s="15">
        <v>3</v>
      </c>
      <c r="B7" s="15" t="s">
        <v>75</v>
      </c>
      <c r="C7" s="15">
        <v>1</v>
      </c>
      <c r="D7" s="10">
        <v>600</v>
      </c>
      <c r="E7" s="11">
        <v>500</v>
      </c>
      <c r="F7" s="16">
        <f t="shared" si="0"/>
        <v>300000</v>
      </c>
      <c r="G7" s="15" t="s">
        <v>76</v>
      </c>
      <c r="H7" s="12">
        <v>0</v>
      </c>
      <c r="I7" s="16">
        <f t="shared" si="1"/>
        <v>300000</v>
      </c>
      <c r="J7" s="15" t="s">
        <v>77</v>
      </c>
    </row>
    <row r="8" spans="1:10" x14ac:dyDescent="0.45">
      <c r="A8" s="15">
        <v>4</v>
      </c>
      <c r="B8" s="15" t="s">
        <v>75</v>
      </c>
      <c r="C8" s="15">
        <v>1</v>
      </c>
      <c r="D8" s="10">
        <v>495</v>
      </c>
      <c r="E8" s="11">
        <v>555.55999999999995</v>
      </c>
      <c r="F8" s="16">
        <f t="shared" si="0"/>
        <v>275002.19999999995</v>
      </c>
      <c r="G8" s="15" t="s">
        <v>76</v>
      </c>
      <c r="H8" s="12">
        <v>0</v>
      </c>
      <c r="I8" s="16">
        <f t="shared" si="1"/>
        <v>275002.19999999995</v>
      </c>
      <c r="J8" s="15" t="s">
        <v>77</v>
      </c>
    </row>
    <row r="9" spans="1:10" x14ac:dyDescent="0.45">
      <c r="A9" s="15">
        <v>5</v>
      </c>
      <c r="B9" s="15" t="s">
        <v>75</v>
      </c>
      <c r="C9" s="15">
        <v>2</v>
      </c>
      <c r="D9" s="10">
        <v>500</v>
      </c>
      <c r="E9" s="11">
        <v>550</v>
      </c>
      <c r="F9" s="16">
        <f t="shared" si="0"/>
        <v>275000</v>
      </c>
      <c r="G9" s="15" t="s">
        <v>76</v>
      </c>
      <c r="H9" s="12">
        <v>0</v>
      </c>
      <c r="I9" s="16">
        <f t="shared" si="1"/>
        <v>275000</v>
      </c>
      <c r="J9" s="15" t="s">
        <v>77</v>
      </c>
    </row>
    <row r="10" spans="1:10" x14ac:dyDescent="0.45">
      <c r="A10" s="15">
        <v>6</v>
      </c>
      <c r="B10" s="15" t="s">
        <v>78</v>
      </c>
      <c r="C10" s="15">
        <v>3</v>
      </c>
      <c r="D10" s="10">
        <v>1442</v>
      </c>
      <c r="E10" s="11">
        <v>554.78</v>
      </c>
      <c r="F10" s="16">
        <f t="shared" si="0"/>
        <v>799992.76</v>
      </c>
      <c r="G10" s="15" t="s">
        <v>76</v>
      </c>
      <c r="H10" s="12">
        <v>0</v>
      </c>
      <c r="I10" s="16">
        <f t="shared" si="1"/>
        <v>799992.76</v>
      </c>
      <c r="J10" s="15" t="s">
        <v>77</v>
      </c>
    </row>
    <row r="11" spans="1:10" x14ac:dyDescent="0.45">
      <c r="A11" s="15">
        <v>7</v>
      </c>
      <c r="B11" s="15" t="s">
        <v>78</v>
      </c>
      <c r="C11" s="15">
        <v>3</v>
      </c>
      <c r="D11" s="10">
        <v>1507</v>
      </c>
      <c r="E11" s="11">
        <v>530.86</v>
      </c>
      <c r="F11" s="16">
        <f t="shared" si="0"/>
        <v>800006.02</v>
      </c>
      <c r="G11" s="15" t="s">
        <v>76</v>
      </c>
      <c r="H11" s="12">
        <v>0</v>
      </c>
      <c r="I11" s="16">
        <f t="shared" si="1"/>
        <v>800006.02</v>
      </c>
      <c r="J11" s="15" t="s">
        <v>77</v>
      </c>
    </row>
    <row r="12" spans="1:10" x14ac:dyDescent="0.45">
      <c r="A12" s="15">
        <v>8</v>
      </c>
      <c r="B12" s="15" t="s">
        <v>78</v>
      </c>
      <c r="C12" s="15">
        <v>3</v>
      </c>
      <c r="D12" s="10">
        <v>1432</v>
      </c>
      <c r="E12" s="11">
        <v>558.66</v>
      </c>
      <c r="F12" s="16">
        <f t="shared" si="0"/>
        <v>800001.12</v>
      </c>
      <c r="G12" s="15" t="s">
        <v>76</v>
      </c>
      <c r="H12" s="12">
        <v>0</v>
      </c>
      <c r="I12" s="16">
        <f t="shared" si="1"/>
        <v>800001.12</v>
      </c>
      <c r="J12" s="15" t="s">
        <v>77</v>
      </c>
    </row>
    <row r="13" spans="1:10" x14ac:dyDescent="0.4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4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45">
      <c r="A15" s="3"/>
      <c r="B15" s="17" t="s">
        <v>79</v>
      </c>
      <c r="C15" s="3"/>
      <c r="D15" s="18">
        <f>SUM(D5:D12)</f>
        <v>7056</v>
      </c>
      <c r="E15" s="3"/>
      <c r="F15" s="3"/>
      <c r="G15" s="3"/>
      <c r="H15" s="3"/>
      <c r="I15" s="3"/>
      <c r="J15" s="3"/>
    </row>
    <row r="16" spans="1:10" x14ac:dyDescent="0.45">
      <c r="A16" s="3"/>
      <c r="B16" s="17" t="s">
        <v>80</v>
      </c>
      <c r="C16" s="3"/>
      <c r="D16" s="3"/>
      <c r="E16" s="3"/>
      <c r="F16" s="3"/>
      <c r="G16" s="3"/>
      <c r="H16" s="3"/>
      <c r="I16" s="19">
        <f>SUM(F5:F12)</f>
        <v>3825001.3000000003</v>
      </c>
      <c r="J16" s="3"/>
    </row>
    <row r="17" spans="1:10" x14ac:dyDescent="0.45">
      <c r="A17" s="3"/>
      <c r="B17" s="17" t="s">
        <v>81</v>
      </c>
      <c r="C17" s="3"/>
      <c r="D17" s="3"/>
      <c r="E17" s="3"/>
      <c r="F17" s="3"/>
      <c r="G17" s="3"/>
      <c r="H17" s="3"/>
      <c r="I17" s="19">
        <f>SUM(I5:I12)</f>
        <v>3825001.3000000003</v>
      </c>
      <c r="J17" s="3"/>
    </row>
  </sheetData>
  <mergeCells count="2">
    <mergeCell ref="A1:J1"/>
    <mergeCell ref="A3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showGridLines="0" workbookViewId="0">
      <selection activeCell="G17" sqref="G17"/>
    </sheetView>
  </sheetViews>
  <sheetFormatPr defaultRowHeight="14.25" x14ac:dyDescent="0.45"/>
  <cols>
    <col min="1" max="1" width="28" customWidth="1"/>
    <col min="2" max="2" width="18" customWidth="1"/>
    <col min="3" max="3" width="20" customWidth="1"/>
    <col min="4" max="4" width="10" customWidth="1"/>
    <col min="5" max="5" width="16" customWidth="1"/>
    <col min="6" max="6" width="14" customWidth="1"/>
    <col min="7" max="7" width="28" customWidth="1"/>
  </cols>
  <sheetData>
    <row r="1" spans="1:7" ht="24" customHeight="1" x14ac:dyDescent="0.45">
      <c r="A1" s="30" t="s">
        <v>82</v>
      </c>
      <c r="B1" s="29"/>
      <c r="C1" s="29"/>
      <c r="D1" s="29"/>
      <c r="E1" s="29"/>
      <c r="F1" s="29"/>
      <c r="G1" s="29"/>
    </row>
    <row r="3" spans="1:7" x14ac:dyDescent="0.45">
      <c r="A3" s="28" t="s">
        <v>83</v>
      </c>
      <c r="B3" s="29"/>
      <c r="C3" s="29"/>
      <c r="D3" s="29"/>
      <c r="E3" s="29"/>
      <c r="F3" s="29"/>
      <c r="G3" s="29"/>
    </row>
    <row r="4" spans="1:7" x14ac:dyDescent="0.45">
      <c r="A4" s="8" t="s">
        <v>84</v>
      </c>
      <c r="B4" s="8" t="s">
        <v>85</v>
      </c>
      <c r="C4" s="8" t="s">
        <v>86</v>
      </c>
      <c r="D4" s="8" t="s">
        <v>16</v>
      </c>
      <c r="E4" s="8" t="s">
        <v>87</v>
      </c>
      <c r="F4" s="8" t="s">
        <v>17</v>
      </c>
      <c r="G4" s="8" t="s">
        <v>19</v>
      </c>
    </row>
    <row r="5" spans="1:7" x14ac:dyDescent="0.45">
      <c r="A5" s="9" t="s">
        <v>88</v>
      </c>
      <c r="B5" s="9" t="s">
        <v>89</v>
      </c>
      <c r="C5" s="20">
        <f>Inputs!B6*Inputs!B7</f>
        <v>1253802</v>
      </c>
      <c r="D5" s="9" t="s">
        <v>31</v>
      </c>
      <c r="E5" s="16">
        <f t="shared" ref="E5:E10" si="0">C5</f>
        <v>1253802</v>
      </c>
      <c r="F5" s="9" t="s">
        <v>90</v>
      </c>
      <c r="G5" s="9" t="s">
        <v>91</v>
      </c>
    </row>
    <row r="6" spans="1:7" x14ac:dyDescent="0.45">
      <c r="A6" s="9" t="s">
        <v>30</v>
      </c>
      <c r="B6" s="9" t="s">
        <v>22</v>
      </c>
      <c r="C6" s="20">
        <f>Inputs!B8</f>
        <v>460390</v>
      </c>
      <c r="D6" s="9" t="s">
        <v>31</v>
      </c>
      <c r="E6" s="16">
        <f t="shared" si="0"/>
        <v>460390</v>
      </c>
      <c r="F6" s="9" t="s">
        <v>90</v>
      </c>
      <c r="G6" s="9" t="s">
        <v>91</v>
      </c>
    </row>
    <row r="7" spans="1:7" x14ac:dyDescent="0.45">
      <c r="A7" s="9" t="s">
        <v>40</v>
      </c>
      <c r="B7" s="9" t="s">
        <v>92</v>
      </c>
      <c r="C7" s="20">
        <f>(E5+E6)*Inputs!B12</f>
        <v>85709.6</v>
      </c>
      <c r="D7" s="9" t="s">
        <v>31</v>
      </c>
      <c r="E7" s="16">
        <f t="shared" si="0"/>
        <v>85709.6</v>
      </c>
      <c r="F7" s="9" t="s">
        <v>90</v>
      </c>
      <c r="G7" s="9" t="s">
        <v>91</v>
      </c>
    </row>
    <row r="8" spans="1:7" x14ac:dyDescent="0.45">
      <c r="A8" s="9" t="s">
        <v>37</v>
      </c>
      <c r="B8" s="9" t="s">
        <v>92</v>
      </c>
      <c r="C8" s="20">
        <f>(E5+E6)*Inputs!B11</f>
        <v>128564.4</v>
      </c>
      <c r="D8" s="9" t="s">
        <v>31</v>
      </c>
      <c r="E8" s="16">
        <f t="shared" si="0"/>
        <v>128564.4</v>
      </c>
      <c r="F8" s="9" t="s">
        <v>90</v>
      </c>
      <c r="G8" s="9" t="s">
        <v>91</v>
      </c>
    </row>
    <row r="9" spans="1:7" x14ac:dyDescent="0.45">
      <c r="A9" s="9" t="s">
        <v>93</v>
      </c>
      <c r="B9" s="9" t="s">
        <v>22</v>
      </c>
      <c r="C9" s="20">
        <f>Inputs!B13</f>
        <v>0</v>
      </c>
      <c r="D9" s="9" t="s">
        <v>31</v>
      </c>
      <c r="E9" s="16">
        <f t="shared" si="0"/>
        <v>0</v>
      </c>
      <c r="F9" s="9" t="s">
        <v>90</v>
      </c>
      <c r="G9" s="9" t="s">
        <v>91</v>
      </c>
    </row>
    <row r="10" spans="1:7" x14ac:dyDescent="0.45">
      <c r="A10" s="9" t="s">
        <v>45</v>
      </c>
      <c r="B10" s="9" t="s">
        <v>46</v>
      </c>
      <c r="C10" s="20">
        <f>'Unit Mix'!I17*Inputs!B14</f>
        <v>86062.529250000007</v>
      </c>
      <c r="D10" s="9" t="s">
        <v>31</v>
      </c>
      <c r="E10" s="16">
        <f t="shared" si="0"/>
        <v>86062.529250000007</v>
      </c>
      <c r="F10" s="9" t="s">
        <v>90</v>
      </c>
      <c r="G10" s="9" t="s">
        <v>94</v>
      </c>
    </row>
    <row r="11" spans="1:7" x14ac:dyDescent="0.45">
      <c r="A11" s="17" t="s">
        <v>95</v>
      </c>
      <c r="B11" s="3"/>
      <c r="C11" s="3"/>
      <c r="D11" s="3"/>
      <c r="E11" s="19">
        <f>SUM(E5:E10)</f>
        <v>2014528.5292499999</v>
      </c>
      <c r="F11" s="3"/>
      <c r="G11" s="3"/>
    </row>
    <row r="12" spans="1:7" x14ac:dyDescent="0.45">
      <c r="A12" s="3"/>
      <c r="B12" s="3"/>
      <c r="C12" s="3"/>
      <c r="D12" s="3"/>
      <c r="E12" s="3"/>
      <c r="F12" s="3"/>
      <c r="G12" s="3"/>
    </row>
    <row r="13" spans="1:7" x14ac:dyDescent="0.45">
      <c r="A13" s="28" t="s">
        <v>96</v>
      </c>
      <c r="B13" s="29"/>
      <c r="C13" s="29"/>
      <c r="D13" s="29"/>
      <c r="E13" s="29"/>
      <c r="F13" s="29"/>
      <c r="G13" s="29"/>
    </row>
    <row r="14" spans="1:7" x14ac:dyDescent="0.45">
      <c r="A14" s="1" t="s">
        <v>84</v>
      </c>
      <c r="B14" s="1" t="s">
        <v>85</v>
      </c>
      <c r="C14" s="1" t="s">
        <v>86</v>
      </c>
      <c r="D14" s="1" t="s">
        <v>16</v>
      </c>
      <c r="E14" s="1" t="s">
        <v>87</v>
      </c>
      <c r="F14" s="1" t="s">
        <v>17</v>
      </c>
      <c r="G14" s="1" t="s">
        <v>19</v>
      </c>
    </row>
    <row r="15" spans="1:7" x14ac:dyDescent="0.45">
      <c r="A15" s="9" t="s">
        <v>32</v>
      </c>
      <c r="B15" s="9" t="s">
        <v>22</v>
      </c>
      <c r="C15" s="20">
        <f>Inputs!B9</f>
        <v>1100000</v>
      </c>
      <c r="D15" s="9" t="s">
        <v>31</v>
      </c>
      <c r="E15" s="16">
        <f>C15</f>
        <v>1100000</v>
      </c>
      <c r="F15" s="9" t="s">
        <v>90</v>
      </c>
      <c r="G15" s="9" t="s">
        <v>91</v>
      </c>
    </row>
    <row r="16" spans="1:7" x14ac:dyDescent="0.45">
      <c r="A16" s="9" t="s">
        <v>35</v>
      </c>
      <c r="B16" s="9" t="s">
        <v>22</v>
      </c>
      <c r="C16" s="20">
        <f>Inputs!B10</f>
        <v>60000</v>
      </c>
      <c r="D16" s="9" t="s">
        <v>31</v>
      </c>
      <c r="E16" s="16">
        <f>C16</f>
        <v>60000</v>
      </c>
      <c r="F16" s="9" t="s">
        <v>90</v>
      </c>
      <c r="G16" s="9" t="s">
        <v>91</v>
      </c>
    </row>
    <row r="17" spans="1:7" ht="28.5" x14ac:dyDescent="0.45">
      <c r="A17" s="9" t="s">
        <v>97</v>
      </c>
      <c r="B17" s="9" t="s">
        <v>98</v>
      </c>
      <c r="C17" s="20">
        <f>E11+E15+E16+0.5*(E5+E6+E7+E8+E9+E10)</f>
        <v>4181792.7938749995</v>
      </c>
      <c r="D17" s="9" t="s">
        <v>31</v>
      </c>
      <c r="E17" s="16">
        <f>C17</f>
        <v>4181792.7938749995</v>
      </c>
      <c r="F17" s="9" t="s">
        <v>99</v>
      </c>
      <c r="G17" s="9" t="s">
        <v>100</v>
      </c>
    </row>
    <row r="18" spans="1:7" x14ac:dyDescent="0.45">
      <c r="A18" s="9" t="s">
        <v>101</v>
      </c>
      <c r="B18" s="9" t="s">
        <v>102</v>
      </c>
      <c r="C18" s="20">
        <f>E17*Inputs!B15</f>
        <v>0</v>
      </c>
      <c r="D18" s="9" t="s">
        <v>31</v>
      </c>
      <c r="E18" s="16">
        <f>C18</f>
        <v>0</v>
      </c>
      <c r="F18" s="9" t="s">
        <v>99</v>
      </c>
      <c r="G18" s="9" t="s">
        <v>103</v>
      </c>
    </row>
    <row r="19" spans="1:7" x14ac:dyDescent="0.45">
      <c r="A19" s="9" t="s">
        <v>52</v>
      </c>
      <c r="B19" s="9" t="s">
        <v>104</v>
      </c>
      <c r="C19" s="20">
        <f>E17*Inputs!B16</f>
        <v>0</v>
      </c>
      <c r="D19" s="9" t="s">
        <v>31</v>
      </c>
      <c r="E19" s="16">
        <f>C19</f>
        <v>0</v>
      </c>
      <c r="F19" s="9" t="s">
        <v>99</v>
      </c>
      <c r="G19" s="9" t="s">
        <v>105</v>
      </c>
    </row>
    <row r="20" spans="1:7" x14ac:dyDescent="0.45">
      <c r="A20" s="17" t="s">
        <v>106</v>
      </c>
      <c r="B20" s="3"/>
      <c r="C20" s="3"/>
      <c r="D20" s="3"/>
      <c r="E20" s="19">
        <f>E11+E15+E16+E18+E19</f>
        <v>3174528.5292499997</v>
      </c>
      <c r="F20" s="3"/>
      <c r="G20" s="3"/>
    </row>
  </sheetData>
  <mergeCells count="3">
    <mergeCell ref="A13:G13"/>
    <mergeCell ref="A3:G3"/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showGridLines="0" workbookViewId="0">
      <selection sqref="A1:F1"/>
    </sheetView>
  </sheetViews>
  <sheetFormatPr defaultRowHeight="14.25" x14ac:dyDescent="0.45"/>
  <cols>
    <col min="1" max="1" width="28" customWidth="1"/>
    <col min="2" max="2" width="18" customWidth="1"/>
    <col min="3" max="3" width="14" customWidth="1"/>
    <col min="4" max="4" width="16" customWidth="1"/>
    <col min="5" max="5" width="14" customWidth="1"/>
    <col min="6" max="6" width="28" customWidth="1"/>
  </cols>
  <sheetData>
    <row r="1" spans="1:6" ht="24" customHeight="1" x14ac:dyDescent="0.45">
      <c r="A1" s="30" t="s">
        <v>107</v>
      </c>
      <c r="B1" s="29"/>
      <c r="C1" s="29"/>
      <c r="D1" s="29"/>
      <c r="E1" s="29"/>
      <c r="F1" s="29"/>
    </row>
    <row r="3" spans="1:6" x14ac:dyDescent="0.45">
      <c r="A3" s="28" t="s">
        <v>108</v>
      </c>
      <c r="B3" s="29"/>
      <c r="C3" s="29"/>
      <c r="D3" s="29"/>
      <c r="E3" s="29"/>
      <c r="F3" s="29"/>
    </row>
    <row r="4" spans="1:6" x14ac:dyDescent="0.45">
      <c r="A4" s="8" t="s">
        <v>109</v>
      </c>
      <c r="B4" s="8" t="s">
        <v>110</v>
      </c>
      <c r="C4" s="8" t="s">
        <v>16</v>
      </c>
      <c r="D4" s="8" t="s">
        <v>111</v>
      </c>
      <c r="E4" s="8" t="s">
        <v>17</v>
      </c>
      <c r="F4" s="8" t="s">
        <v>112</v>
      </c>
    </row>
    <row r="5" spans="1:6" ht="28.5" x14ac:dyDescent="0.45">
      <c r="A5" s="9" t="s">
        <v>81</v>
      </c>
      <c r="B5" s="16">
        <f>'Unit Mix'!I17</f>
        <v>3825001.3000000003</v>
      </c>
      <c r="C5" s="9" t="s">
        <v>31</v>
      </c>
      <c r="D5" s="9" t="s">
        <v>77</v>
      </c>
      <c r="E5" s="9" t="s">
        <v>90</v>
      </c>
      <c r="F5" s="9" t="s">
        <v>113</v>
      </c>
    </row>
    <row r="6" spans="1:6" x14ac:dyDescent="0.45">
      <c r="A6" s="9" t="s">
        <v>106</v>
      </c>
      <c r="B6" s="16">
        <f>Costs!E20</f>
        <v>3174528.5292499997</v>
      </c>
      <c r="C6" s="9" t="s">
        <v>31</v>
      </c>
      <c r="D6" s="9" t="s">
        <v>77</v>
      </c>
      <c r="E6" s="9" t="s">
        <v>90</v>
      </c>
      <c r="F6" s="9" t="s">
        <v>114</v>
      </c>
    </row>
    <row r="7" spans="1:6" x14ac:dyDescent="0.45">
      <c r="A7" s="9" t="s">
        <v>115</v>
      </c>
      <c r="B7" s="16">
        <f>B5-B6</f>
        <v>650472.77075000061</v>
      </c>
      <c r="C7" s="9" t="s">
        <v>31</v>
      </c>
      <c r="D7" s="9" t="s">
        <v>77</v>
      </c>
      <c r="E7" s="9" t="s">
        <v>99</v>
      </c>
      <c r="F7" s="9" t="s">
        <v>116</v>
      </c>
    </row>
    <row r="8" spans="1:6" x14ac:dyDescent="0.45">
      <c r="A8" s="9" t="s">
        <v>117</v>
      </c>
      <c r="B8" s="21">
        <f>B7/B5</f>
        <v>0.17005818292140204</v>
      </c>
      <c r="C8" s="9" t="s">
        <v>61</v>
      </c>
      <c r="D8" s="22">
        <f>Inputs!B17</f>
        <v>0.17499999999999999</v>
      </c>
      <c r="E8" s="9" t="s">
        <v>99</v>
      </c>
      <c r="F8" s="9" t="s">
        <v>118</v>
      </c>
    </row>
    <row r="9" spans="1:6" x14ac:dyDescent="0.45">
      <c r="A9" s="9" t="s">
        <v>119</v>
      </c>
      <c r="B9" s="21">
        <f>B7/B6</f>
        <v>0.20490374074656009</v>
      </c>
      <c r="C9" s="9" t="s">
        <v>61</v>
      </c>
      <c r="D9" s="9" t="s">
        <v>77</v>
      </c>
      <c r="E9" s="9" t="s">
        <v>99</v>
      </c>
      <c r="F9" s="9" t="s">
        <v>120</v>
      </c>
    </row>
    <row r="10" spans="1:6" ht="28.5" x14ac:dyDescent="0.45">
      <c r="A10" s="9" t="s">
        <v>121</v>
      </c>
      <c r="B10" s="16">
        <f>B7-(B5*Inputs!B17)</f>
        <v>-18902.45674999943</v>
      </c>
      <c r="C10" s="9" t="s">
        <v>31</v>
      </c>
      <c r="D10" s="9" t="s">
        <v>77</v>
      </c>
      <c r="E10" s="9" t="s">
        <v>99</v>
      </c>
      <c r="F10" s="9" t="s">
        <v>122</v>
      </c>
    </row>
    <row r="11" spans="1:6" x14ac:dyDescent="0.45">
      <c r="A11" s="3"/>
      <c r="B11" s="3"/>
      <c r="C11" s="3"/>
      <c r="D11" s="3"/>
      <c r="E11" s="3"/>
      <c r="F11" s="3"/>
    </row>
    <row r="12" spans="1:6" x14ac:dyDescent="0.45">
      <c r="A12" s="3"/>
      <c r="B12" s="3"/>
      <c r="C12" s="3"/>
      <c r="D12" s="3"/>
      <c r="E12" s="3"/>
      <c r="F12" s="3"/>
    </row>
    <row r="13" spans="1:6" x14ac:dyDescent="0.45">
      <c r="A13" s="28" t="s">
        <v>123</v>
      </c>
      <c r="B13" s="29"/>
      <c r="C13" s="29"/>
      <c r="D13" s="29"/>
      <c r="E13" s="29"/>
      <c r="F13" s="29"/>
    </row>
    <row r="14" spans="1:6" x14ac:dyDescent="0.45">
      <c r="A14" s="17" t="s">
        <v>124</v>
      </c>
      <c r="B14" s="6" t="str">
        <f>IF(B8&gt;=D8,"YES","NO")</f>
        <v>NO</v>
      </c>
      <c r="C14" s="3"/>
      <c r="D14" s="3"/>
      <c r="E14" s="3"/>
      <c r="F14" s="3"/>
    </row>
    <row r="15" spans="1:6" x14ac:dyDescent="0.45">
      <c r="A15" s="17" t="s">
        <v>125</v>
      </c>
      <c r="B15" s="23">
        <f>B7-(B5*Inputs!B17)</f>
        <v>-18902.45674999943</v>
      </c>
      <c r="C15" s="3"/>
      <c r="D15" s="3"/>
      <c r="E15" s="3"/>
      <c r="F15" s="3"/>
    </row>
    <row r="16" spans="1:6" ht="26.25" x14ac:dyDescent="0.45">
      <c r="A16" s="17" t="s">
        <v>126</v>
      </c>
      <c r="B16" s="19">
        <f>MAX(0,B15)</f>
        <v>0</v>
      </c>
      <c r="C16" s="3"/>
      <c r="D16" s="3"/>
      <c r="E16" s="3"/>
      <c r="F16" s="3"/>
    </row>
  </sheetData>
  <mergeCells count="3">
    <mergeCell ref="A3:F3"/>
    <mergeCell ref="A13:F13"/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showGridLines="0" workbookViewId="0">
      <selection sqref="A1:H1"/>
    </sheetView>
  </sheetViews>
  <sheetFormatPr defaultRowHeight="14.25" x14ac:dyDescent="0.45"/>
  <cols>
    <col min="1" max="1" width="18" customWidth="1"/>
    <col min="2" max="8" width="12" customWidth="1"/>
  </cols>
  <sheetData>
    <row r="1" spans="1:8" ht="24" customHeight="1" x14ac:dyDescent="0.45">
      <c r="A1" s="30" t="s">
        <v>127</v>
      </c>
      <c r="B1" s="29"/>
      <c r="C1" s="29"/>
      <c r="D1" s="29"/>
      <c r="E1" s="29"/>
      <c r="F1" s="29"/>
      <c r="G1" s="29"/>
      <c r="H1" s="29"/>
    </row>
    <row r="3" spans="1:8" ht="52.5" x14ac:dyDescent="0.45">
      <c r="A3" s="24" t="s">
        <v>128</v>
      </c>
      <c r="B3" s="3"/>
      <c r="C3" s="3"/>
      <c r="D3" s="3"/>
      <c r="E3" s="3"/>
      <c r="F3" s="3"/>
      <c r="G3" s="3"/>
      <c r="H3" s="3"/>
    </row>
    <row r="4" spans="1:8" x14ac:dyDescent="0.45">
      <c r="A4" s="3"/>
      <c r="B4" s="3"/>
      <c r="C4" s="3"/>
      <c r="D4" s="3"/>
      <c r="E4" s="3"/>
      <c r="F4" s="3"/>
      <c r="G4" s="3"/>
      <c r="H4" s="3"/>
    </row>
    <row r="5" spans="1:8" x14ac:dyDescent="0.45">
      <c r="A5" s="28" t="s">
        <v>129</v>
      </c>
      <c r="B5" s="29"/>
      <c r="C5" s="29"/>
      <c r="D5" s="29"/>
      <c r="E5" s="29"/>
      <c r="F5" s="29"/>
      <c r="G5" s="29"/>
      <c r="H5" s="29"/>
    </row>
    <row r="6" spans="1:8" x14ac:dyDescent="0.45">
      <c r="A6" s="17" t="s">
        <v>130</v>
      </c>
      <c r="B6" s="3"/>
      <c r="C6" s="25">
        <v>-0.1</v>
      </c>
      <c r="D6" s="25">
        <v>-0.05</v>
      </c>
      <c r="E6" s="25">
        <v>0</v>
      </c>
      <c r="F6" s="25">
        <v>0.05</v>
      </c>
      <c r="G6" s="25">
        <v>0.1</v>
      </c>
      <c r="H6" s="3"/>
    </row>
    <row r="7" spans="1:8" x14ac:dyDescent="0.45">
      <c r="A7" s="25">
        <v>-0.1</v>
      </c>
      <c r="B7" s="3"/>
      <c r="C7" s="26">
        <f>((Summary!B5*(1+C$6))-(Costs!E20 + (Costs!E5*$A7) + (Costs!E7*$A7) + (Costs!E8*$A7)))/(Summary!B5*(1+C$6))</f>
        <v>0.12048804641364894</v>
      </c>
      <c r="D7" s="26">
        <f>((Summary!B5*(1+D$6))-(Costs!E20 + (Costs!E5*$A7) + (Costs!E7*$A7) + (Costs!E8*$A7)))/(Summary!B5*(1+D$6))</f>
        <v>0.16677814923398307</v>
      </c>
      <c r="E7" s="26">
        <f>((Summary!B5*(1+E$6))-(Costs!E20 + (Costs!E5*$A7) + (Costs!E7*$A7) + (Costs!E8*$A7)))/(Summary!B5*(1+E$6))</f>
        <v>0.20843924177228401</v>
      </c>
      <c r="F7" s="26">
        <f>((Summary!B5*(1+F$6))-(Costs!E20 + (Costs!E5*$A7) + (Costs!E7*$A7) + (Costs!E8*$A7)))/(Summary!B5*(1+F$6))</f>
        <v>0.24613261121169913</v>
      </c>
      <c r="G7" s="26">
        <f>((Summary!B5*(1+G$6))-(Costs!E20 + (Costs!E5*$A7) + (Costs!E7*$A7) + (Costs!E8*$A7)))/(Summary!B5*(1+G$6))</f>
        <v>0.28039931070207641</v>
      </c>
      <c r="H7" s="3"/>
    </row>
    <row r="8" spans="1:8" x14ac:dyDescent="0.45">
      <c r="A8" s="25">
        <v>-0.05</v>
      </c>
      <c r="B8" s="3"/>
      <c r="C8" s="26">
        <f>((Summary!B5*(1+C$6))-(Costs!E20 + (Costs!E5*$A8) + (Costs!E7*$A8) + (Costs!E8*$A8)))/(Summary!B5*(1+C$6))</f>
        <v>9.9165235940936791E-2</v>
      </c>
      <c r="D8" s="26">
        <f>((Summary!B5*(1+D$6))-(Costs!E20 + (Costs!E5*$A8) + (Costs!E7*$A8) + (Costs!E8*$A8)))/(Summary!B5*(1+D$6))</f>
        <v>0.14657759194404527</v>
      </c>
      <c r="E8" s="26">
        <f>((Summary!B5*(1+E$6))-(Costs!E20 + (Costs!E5*$A8) + (Costs!E7*$A8) + (Costs!E8*$A8)))/(Summary!B5*(1+E$6))</f>
        <v>0.18924871234684307</v>
      </c>
      <c r="F8" s="26">
        <f>((Summary!B5*(1+F$6))-(Costs!E20 + (Costs!E5*$A8) + (Costs!E7*$A8) + (Costs!E8*$A8)))/(Summary!B5*(1+F$6))</f>
        <v>0.227855916520803</v>
      </c>
      <c r="G8" s="26">
        <f>((Summary!B5*(1+G$6))-(Costs!E20 + (Costs!E5*$A8) + (Costs!E7*$A8) + (Costs!E8*$A8)))/(Summary!B5*(1+G$6))</f>
        <v>0.26295337486076648</v>
      </c>
      <c r="H8" s="3"/>
    </row>
    <row r="9" spans="1:8" x14ac:dyDescent="0.45">
      <c r="A9" s="25">
        <v>0</v>
      </c>
      <c r="B9" s="3"/>
      <c r="C9" s="26">
        <f>((Summary!B5*(1+C$6))-(Costs!E20 + (Costs!E5*$A9) + (Costs!E7*$A9) + (Costs!E8*$A9)))/(Summary!B5*(1+C$6))</f>
        <v>7.7842425468224508E-2</v>
      </c>
      <c r="D9" s="26">
        <f>((Summary!B5*(1+D$6))-(Costs!E20 + (Costs!E5*$A9) + (Costs!E7*$A9) + (Costs!E8*$A9)))/(Summary!B5*(1+D$6))</f>
        <v>0.1263770346541073</v>
      </c>
      <c r="E9" s="26">
        <f>((Summary!B5*(1+E$6))-(Costs!E20 + (Costs!E5*$A9) + (Costs!E7*$A9) + (Costs!E8*$A9)))/(Summary!B5*(1+E$6))</f>
        <v>0.17005818292140204</v>
      </c>
      <c r="F9" s="26">
        <f>((Summary!B5*(1+F$6))-(Costs!E20 + (Costs!E5*$A9) + (Costs!E7*$A9) + (Costs!E8*$A9)))/(Summary!B5*(1+F$6))</f>
        <v>0.20957922182990676</v>
      </c>
      <c r="G9" s="26">
        <f>((Summary!B5*(1+G$6))-(Costs!E20 + (Costs!E5*$A9) + (Costs!E7*$A9) + (Costs!E8*$A9)))/(Summary!B5*(1+G$6))</f>
        <v>0.24550743901945646</v>
      </c>
      <c r="H9" s="3"/>
    </row>
    <row r="10" spans="1:8" x14ac:dyDescent="0.45">
      <c r="A10" s="25">
        <v>0.05</v>
      </c>
      <c r="B10" s="3"/>
      <c r="C10" s="26">
        <f>((Summary!B5*(1+C$6))-(Costs!E20 + (Costs!E5*$A10) + (Costs!E7*$A10) + (Costs!E8*$A10)))/(Summary!B5*(1+C$6))</f>
        <v>5.6519614995512238E-2</v>
      </c>
      <c r="D10" s="26">
        <f>((Summary!B5*(1+D$6))-(Costs!E20 + (Costs!E5*$A10) + (Costs!E7*$A10) + (Costs!E8*$A10)))/(Summary!B5*(1+D$6))</f>
        <v>0.10617647736416935</v>
      </c>
      <c r="E10" s="26">
        <f>((Summary!B5*(1+E$6))-(Costs!E20 + (Costs!E5*$A10) + (Costs!E7*$A10) + (Costs!E8*$A10)))/(Summary!B5*(1+E$6))</f>
        <v>0.15086765349596098</v>
      </c>
      <c r="F10" s="26">
        <f>((Summary!B5*(1+F$6))-(Costs!E20 + (Costs!E5*$A10) + (Costs!E7*$A10) + (Costs!E8*$A10)))/(Summary!B5*(1+F$6))</f>
        <v>0.19130252713901053</v>
      </c>
      <c r="G10" s="26">
        <f>((Summary!B5*(1+G$6))-(Costs!E20 + (Costs!E5*$A10) + (Costs!E7*$A10) + (Costs!E8*$A10)))/(Summary!B5*(1+G$6))</f>
        <v>0.22806150317814641</v>
      </c>
      <c r="H10" s="3"/>
    </row>
    <row r="11" spans="1:8" x14ac:dyDescent="0.45">
      <c r="A11" s="25">
        <v>0.1</v>
      </c>
      <c r="B11" s="3"/>
      <c r="C11" s="26">
        <f>((Summary!B5*(1+C$6))-(Costs!E20 + (Costs!E5*$A11) + (Costs!E7*$A11) + (Costs!E8*$A11)))/(Summary!B5*(1+C$6))</f>
        <v>3.5196804522800093E-2</v>
      </c>
      <c r="D11" s="26">
        <f>((Summary!B5*(1+D$6))-(Costs!E20 + (Costs!E5*$A11) + (Costs!E7*$A11) + (Costs!E8*$A11)))/(Summary!B5*(1+D$6))</f>
        <v>8.5975920074231535E-2</v>
      </c>
      <c r="E11" s="26">
        <f>((Summary!B5*(1+E$6))-(Costs!E20 + (Costs!E5*$A11) + (Costs!E7*$A11) + (Costs!E8*$A11)))/(Summary!B5*(1+E$6))</f>
        <v>0.13167712407052004</v>
      </c>
      <c r="F11" s="26">
        <f>((Summary!B5*(1+F$6))-(Costs!E20 + (Costs!E5*$A11) + (Costs!E7*$A11) + (Costs!E8*$A11)))/(Summary!B5*(1+F$6))</f>
        <v>0.17302583244811442</v>
      </c>
      <c r="G11" s="26">
        <f>((Summary!B5*(1+G$6))-(Costs!E20 + (Costs!E5*$A11) + (Costs!E7*$A11) + (Costs!E8*$A11)))/(Summary!B5*(1+G$6))</f>
        <v>0.21061556733683648</v>
      </c>
      <c r="H11" s="3"/>
    </row>
  </sheetData>
  <mergeCells count="2">
    <mergeCell ref="A5:H5"/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870767DFF914DB558FDA33BD714EA" ma:contentTypeVersion="19" ma:contentTypeDescription="Create a new document." ma:contentTypeScope="" ma:versionID="e44249ee75d34ea20d8e365cdfb982ac">
  <xsd:schema xmlns:xsd="http://www.w3.org/2001/XMLSchema" xmlns:xs="http://www.w3.org/2001/XMLSchema" xmlns:p="http://schemas.microsoft.com/office/2006/metadata/properties" xmlns:ns2="2a350759-b811-47a2-b5b9-e3b5056c3d9f" xmlns:ns3="c63d02ca-390a-4ffd-a6e7-796d2cb7a30b" targetNamespace="http://schemas.microsoft.com/office/2006/metadata/properties" ma:root="true" ma:fieldsID="28736bfa47c6e3a9c904c6ecfcf88b8a" ns2:_="" ns3:_="">
    <xsd:import namespace="2a350759-b811-47a2-b5b9-e3b5056c3d9f"/>
    <xsd:import namespace="c63d02ca-390a-4ffd-a6e7-796d2cb7a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50759-b811-47a2-b5b9-e3b5056c3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4a667c-4bd3-490e-8a7c-ddd8a84df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d02ca-390a-4ffd-a6e7-796d2cb7a3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c002d5-3419-4a9d-87f6-96af454f84ec}" ma:internalName="TaxCatchAll" ma:showField="CatchAllData" ma:web="c63d02ca-390a-4ffd-a6e7-796d2cb7a3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350759-b811-47a2-b5b9-e3b5056c3d9f">
      <Terms xmlns="http://schemas.microsoft.com/office/infopath/2007/PartnerControls"/>
    </lcf76f155ced4ddcb4097134ff3c332f>
    <TaxCatchAll xmlns="c63d02ca-390a-4ffd-a6e7-796d2cb7a30b" xsi:nil="true"/>
  </documentManagement>
</p:properties>
</file>

<file path=customXml/itemProps1.xml><?xml version="1.0" encoding="utf-8"?>
<ds:datastoreItem xmlns:ds="http://schemas.openxmlformats.org/officeDocument/2006/customXml" ds:itemID="{74FD2FC3-F25D-447F-A91F-904051D796BD}"/>
</file>

<file path=customXml/itemProps2.xml><?xml version="1.0" encoding="utf-8"?>
<ds:datastoreItem xmlns:ds="http://schemas.openxmlformats.org/officeDocument/2006/customXml" ds:itemID="{E0EE0CD4-7BE3-481C-A467-8C3AB252F0BD}"/>
</file>

<file path=customXml/itemProps3.xml><?xml version="1.0" encoding="utf-8"?>
<ds:datastoreItem xmlns:ds="http://schemas.openxmlformats.org/officeDocument/2006/customXml" ds:itemID="{2439352A-02D2-43AF-A80E-17E839FAB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Inputs</vt:lpstr>
      <vt:lpstr>Unit Mix</vt:lpstr>
      <vt:lpstr>Costs</vt:lpstr>
      <vt:lpstr>Summary</vt:lpstr>
      <vt:lpstr>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spokes</dc:creator>
  <cp:lastModifiedBy>Paul Spokes</cp:lastModifiedBy>
  <cp:lastPrinted>2026-03-16T20:39:59Z</cp:lastPrinted>
  <dcterms:created xsi:type="dcterms:W3CDTF">2026-03-16T19:51:38Z</dcterms:created>
  <dcterms:modified xsi:type="dcterms:W3CDTF">2026-03-16T20:40:00Z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0x010100168870767DFF914DB558FDA33BD714EA</vt:lpwstr>
  </property>
</Properties>
</file>