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defaultThemeVersion="166925"/>
  <mc:AlternateContent xmlns:mc="http://schemas.openxmlformats.org/markup-compatibility/2006">
    <mc:Choice Requires="x15">
      <x15ac:absPath xmlns:x15ac="http://schemas.microsoft.com/office/spreadsheetml/2010/11/ac" url="M:\JOB Numbers - Environmental\2024 Jobs\243185 - Land to the rear of 292 Henley Rd, Reading\Reports\BNG\Rev A (Dec 24)\"/>
    </mc:Choice>
  </mc:AlternateContent>
  <xr:revisionPtr revIDLastSave="0" documentId="13_ncr:1_{8183345C-F758-49CC-BAD0-474F1269A0FE}" xr6:coauthVersionLast="47" xr6:coauthVersionMax="47" xr10:uidLastSave="{00000000-0000-0000-0000-000000000000}"/>
  <workbookProtection workbookAlgorithmName="SHA-512" workbookHashValue="TuRFJzp8rrr3k3M7rhk0bCNX7bXDqkxOj3p2Q7Am6ypTMl1gJVKNUGRH2wCbASomFkDdjvG450LYFseisTgjeQ==" workbookSaltValue="qYZZ0q2zEBfWSfeoRo100Q==" workbookSpinCount="100000" lockStructure="1"/>
  <bookViews>
    <workbookView xWindow="-120" yWindow="-120" windowWidth="29040" windowHeight="16440" tabRatio="730"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3. Habitats Translation" sheetId="19" state="hidden" r:id="rId12"/>
  </sheets>
  <externalReferences>
    <externalReference r:id="rId13"/>
  </externalReferences>
  <definedNames>
    <definedName name="_xlnm._FilterDatabase" localSheetId="9" hidden="1">'10. Condition and Temporal'!$C$4:$M$85</definedName>
    <definedName name="_xlnm._FilterDatabase" localSheetId="11"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Assessment'!$B$2:$D$20</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15" l="1"/>
  <c r="E19" i="15"/>
  <c r="E17" i="15"/>
  <c r="E14" i="15"/>
  <c r="E15" i="15"/>
  <c r="E13" i="15"/>
  <c r="I61" i="1"/>
  <c r="K32" i="1"/>
  <c r="J32" i="1"/>
  <c r="I32" i="1"/>
  <c r="I33" i="1" s="1"/>
  <c r="I33" i="22"/>
  <c r="I32" i="22"/>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D67" i="22"/>
  <c r="AD68" i="22"/>
  <c r="AD69" i="22"/>
  <c r="AD70" i="22"/>
  <c r="AD71" i="22"/>
  <c r="AD72" i="22"/>
  <c r="AD73" i="22"/>
  <c r="AD74" i="22"/>
  <c r="AD75" i="22"/>
  <c r="AD76" i="22"/>
  <c r="AD77" i="22"/>
  <c r="AD78" i="22"/>
  <c r="AD79" i="22"/>
  <c r="AD80" i="22"/>
  <c r="AD81" i="22"/>
  <c r="AD82" i="22"/>
  <c r="AD83" i="22"/>
  <c r="AD84" i="22"/>
  <c r="AD85"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17"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I60" i="21" s="1"/>
  <c r="K31" i="21"/>
  <c r="J31" i="21"/>
  <c r="I31" i="21"/>
  <c r="E41" i="1" l="1"/>
  <c r="E42" i="1"/>
  <c r="E43" i="1"/>
  <c r="E44" i="1"/>
  <c r="E45" i="1"/>
  <c r="E46" i="1"/>
  <c r="E47" i="1"/>
  <c r="E48" i="1"/>
  <c r="E49" i="1"/>
  <c r="E50" i="1"/>
  <c r="M31" i="21" l="1"/>
  <c r="D16"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E24" i="22" s="1"/>
  <c r="AI23" i="22"/>
  <c r="AG23" i="22"/>
  <c r="AB23" i="22"/>
  <c r="AD23" i="22" s="1"/>
  <c r="AI22" i="22"/>
  <c r="AG22" i="22"/>
  <c r="AB22" i="22"/>
  <c r="AD22" i="22" s="1"/>
  <c r="AE22" i="22" s="1"/>
  <c r="AI21" i="22"/>
  <c r="AG21" i="22"/>
  <c r="AB21" i="22"/>
  <c r="AD21" i="22" s="1"/>
  <c r="AE21" i="22" s="1"/>
  <c r="AI20" i="22"/>
  <c r="AG20" i="22"/>
  <c r="AB20" i="22"/>
  <c r="AD20" i="22" s="1"/>
  <c r="AI19" i="22"/>
  <c r="AG19" i="22"/>
  <c r="AB19" i="22"/>
  <c r="AD19" i="22" s="1"/>
  <c r="AE19" i="22" s="1"/>
  <c r="AI18" i="22"/>
  <c r="AG18" i="22"/>
  <c r="AB18" i="22"/>
  <c r="AC18" i="22" s="1"/>
  <c r="AI17" i="22"/>
  <c r="AG17" i="22"/>
  <c r="AB17" i="22"/>
  <c r="AD17" i="22" s="1"/>
  <c r="AI16" i="22"/>
  <c r="AB16" i="22"/>
  <c r="AD16" i="22" s="1"/>
  <c r="AE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E12" i="22"/>
  <c r="AR12" i="22"/>
  <c r="AR13" i="22"/>
  <c r="L39" i="21"/>
  <c r="AE29" i="22"/>
  <c r="AE28" i="22"/>
  <c r="AE27" i="22"/>
  <c r="AE23" i="22"/>
  <c r="AE20" i="22"/>
  <c r="AE17" i="22"/>
  <c r="AE15" i="22"/>
  <c r="AE13" i="22"/>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F78" i="22"/>
  <c r="V78" i="22"/>
  <c r="AI78" i="22"/>
  <c r="AJ78" i="22" s="1"/>
  <c r="X78" i="22"/>
  <c r="AW78" i="22"/>
  <c r="AC78" i="22"/>
  <c r="AG78" i="22"/>
  <c r="AH78" i="22" s="1"/>
  <c r="W78" i="22"/>
  <c r="AU78" i="22"/>
  <c r="AV78" i="22" s="1"/>
  <c r="AB78" i="22"/>
  <c r="H78" i="22" s="1"/>
  <c r="AN78" i="22" s="1"/>
  <c r="T78" i="22"/>
  <c r="AF82" i="22"/>
  <c r="AI82" i="22"/>
  <c r="AJ82" i="22" s="1"/>
  <c r="W82" i="22"/>
  <c r="AW82" i="22"/>
  <c r="V82" i="22"/>
  <c r="AG82" i="22"/>
  <c r="AH82" i="22" s="1"/>
  <c r="X82" i="22"/>
  <c r="AU82" i="22"/>
  <c r="AV82" i="22" s="1"/>
  <c r="AC82" i="22"/>
  <c r="AB82" i="22"/>
  <c r="T82" i="22"/>
  <c r="H82" i="22"/>
  <c r="AN82" i="22" s="1"/>
  <c r="E71" i="22"/>
  <c r="AU75" i="22"/>
  <c r="AV75" i="22" s="1"/>
  <c r="AB75" i="22"/>
  <c r="T75" i="22"/>
  <c r="X75" i="22"/>
  <c r="AG75" i="22"/>
  <c r="AH75" i="22" s="1"/>
  <c r="W75" i="22"/>
  <c r="AI75" i="22"/>
  <c r="AJ75" i="22" s="1"/>
  <c r="AF75" i="22"/>
  <c r="V75" i="22"/>
  <c r="AW75" i="22"/>
  <c r="AC75" i="22"/>
  <c r="H75" i="22"/>
  <c r="AN75" i="22" s="1"/>
  <c r="AF79" i="22"/>
  <c r="W79" i="22"/>
  <c r="AW79" i="22"/>
  <c r="V79" i="22"/>
  <c r="AU79" i="22"/>
  <c r="AV79" i="22" s="1"/>
  <c r="AC79" i="22"/>
  <c r="AB79" i="22"/>
  <c r="H79" i="22" s="1"/>
  <c r="AN79" i="22" s="1"/>
  <c r="T79" i="22"/>
  <c r="AI79" i="22"/>
  <c r="AJ79" i="22" s="1"/>
  <c r="AG79" i="22"/>
  <c r="AH79" i="22" s="1"/>
  <c r="X79" i="22"/>
  <c r="AG83" i="22"/>
  <c r="AH83" i="22" s="1"/>
  <c r="W83" i="22"/>
  <c r="AF83" i="22"/>
  <c r="V83" i="22"/>
  <c r="AW83" i="22"/>
  <c r="AC83" i="22"/>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I76" i="22"/>
  <c r="AJ76" i="22" s="1"/>
  <c r="AC76" i="22"/>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B71" i="22"/>
  <c r="H71" i="22" s="1"/>
  <c r="AN71" i="22" s="1"/>
  <c r="T71" i="22"/>
  <c r="AU70" i="22"/>
  <c r="AV70" i="22" s="1"/>
  <c r="AC70" i="22"/>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B68" i="22"/>
  <c r="H68" i="22" s="1"/>
  <c r="AN68" i="22" s="1"/>
  <c r="T68" i="22"/>
  <c r="AG13" i="22"/>
  <c r="AB67" i="22"/>
  <c r="H67" i="22" s="1"/>
  <c r="AN67" i="22" s="1"/>
  <c r="AI67" i="22"/>
  <c r="AJ67" i="22" s="1"/>
  <c r="X67" i="22"/>
  <c r="AG67" i="22"/>
  <c r="W67" i="22"/>
  <c r="AW67" i="22"/>
  <c r="AF67" i="22"/>
  <c r="V67" i="22"/>
  <c r="T67" i="22"/>
  <c r="AU67" i="22"/>
  <c r="AV67" i="22" s="1"/>
  <c r="AC67" i="22"/>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C85" i="22"/>
  <c r="AE85" i="22" s="1"/>
  <c r="AC73" i="22"/>
  <c r="AE73" i="22" s="1"/>
  <c r="AC81" i="22"/>
  <c r="AE81" i="22" s="1"/>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E30" i="22"/>
  <c r="AE26" i="22"/>
  <c r="AE25" i="22"/>
  <c r="AE18" i="22"/>
  <c r="AC69" i="22"/>
  <c r="AE69" i="22" s="1"/>
  <c r="AE14"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11" i="22"/>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M68" i="22" l="1"/>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7" i="1" s="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N13" i="1"/>
  <c r="AF13" i="1"/>
  <c r="AE13" i="1"/>
  <c r="G125" i="1" s="1"/>
  <c r="AE12" i="1"/>
  <c r="N12" i="1"/>
  <c r="AF12" i="1"/>
  <c r="N11" i="1"/>
  <c r="AP68" i="1"/>
  <c r="AO68" i="1"/>
  <c r="AE11" i="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G115" i="1" l="1"/>
  <c r="G126" i="1"/>
  <c r="F128" i="1"/>
  <c r="F118" i="1"/>
  <c r="L70" i="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I62" i="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I127" i="1" s="1"/>
  <c r="J127" i="1" s="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<sst xmlns="http://schemas.openxmlformats.org/spreadsheetml/2006/main" count="3158" uniqueCount="1049">
  <si>
    <t>created by Sam Arthur @ FPCR</t>
  </si>
  <si>
    <t xml:space="preserve">Small Sites Metric 
(The Statutory Biodiversity Metric) </t>
  </si>
  <si>
    <t>Release Date:</t>
  </si>
  <si>
    <t>February 2024</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</si>
  <si>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</si>
  <si>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</si>
  <si>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</si>
  <si>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</si>
  <si>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</si>
  <si>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</si>
  <si>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</si>
  <si>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</si>
  <si>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</si>
  <si>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</si>
  <si>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</si>
  <si>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</si>
  <si>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</si>
  <si>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</si>
  <si>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</si>
  <si>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</si>
  <si>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</si>
  <si>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</si>
  <si>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</si>
  <si>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</si>
  <si>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</si>
  <si>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</si>
  <si>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</si>
  <si>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</si>
  <si>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</si>
  <si>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Habitat</t>
  </si>
  <si>
    <t>10b. Hedgerow</t>
  </si>
  <si>
    <t>10c. Watercourses</t>
  </si>
  <si>
    <t>11. Targeted increase in Units if baseline value is zero - agreed with local planning authority</t>
  </si>
  <si>
    <t>11a.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</si>
  <si>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</si>
  <si>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</si>
  <si>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</si>
  <si>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</si>
  <si>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</si>
  <si>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</si>
  <si>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</si>
  <si>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</si>
  <si>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</si>
  <si>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</si>
  <si>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Designated sites and priority habitats</t>
  </si>
  <si>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</si>
  <si>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</si>
  <si>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</si>
  <si>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</si>
  <si>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</si>
  <si>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22. Site walkover completed?</t>
  </si>
  <si>
    <t>23. Date of site walkover - DD/MM/YY</t>
  </si>
  <si>
    <t>24. Who completed the walkover? 
(Name and job title)</t>
  </si>
  <si>
    <t>Additional details</t>
  </si>
  <si>
    <t>25. Any additional information or notes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</si>
  <si>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</si>
  <si>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</si>
  <si>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</si>
  <si>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</si>
  <si>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</si>
  <si>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</si>
  <si>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</si>
  <si>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</si>
  <si>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</si>
  <si>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</si>
  <si>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</si>
  <si>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</si>
  <si>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</si>
  <si>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</si>
  <si>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</si>
  <si>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</si>
  <si>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</si>
  <si>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</si>
  <si>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</si>
  <si>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</si>
  <si>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</si>
  <si>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</si>
  <si>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</si>
  <si>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</si>
  <si>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</si>
  <si>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</si>
  <si>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</si>
  <si>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</si>
  <si>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</si>
  <si>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</si>
  <si>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</si>
  <si>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</si>
  <si>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</si>
  <si>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</si>
  <si>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</si>
  <si>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</si>
  <si>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</si>
  <si>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</si>
  <si>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</si>
  <si>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</si>
  <si>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</si>
  <si>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</si>
  <si>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</si>
  <si>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</si>
  <si>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</si>
  <si>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</si>
  <si>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</si>
  <si>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</si>
  <si>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</si>
  <si>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</si>
  <si>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</si>
  <si>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</si>
  <si>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</si>
  <si>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</si>
  <si>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</si>
  <si>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</si>
  <si>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</si>
  <si>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</si>
  <si>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</si>
  <si>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</si>
  <si>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</si>
  <si>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</si>
  <si>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</si>
  <si>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</si>
  <si>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</si>
  <si>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</si>
  <si>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</si>
  <si>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</si>
  <si>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</si>
  <si>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</si>
  <si>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</si>
  <si>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</si>
  <si>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</si>
  <si>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</si>
  <si>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</si>
  <si>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</si>
  <si>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</si>
  <si>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</si>
  <si>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</si>
  <si>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</si>
  <si>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</si>
  <si>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</si>
  <si>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</si>
  <si>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</si>
  <si>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</si>
  <si>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</si>
  <si>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</si>
  <si>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</si>
  <si>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</si>
  <si>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</si>
  <si>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</si>
  <si>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</si>
  <si>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</si>
  <si>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</si>
  <si>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</si>
  <si>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</si>
  <si>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</si>
  <si>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</si>
  <si>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</si>
  <si>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</si>
  <si>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</si>
  <si>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</si>
  <si>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</si>
  <si>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</si>
  <si>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</si>
  <si>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</si>
  <si>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</si>
  <si>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</si>
  <si>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</si>
  <si>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</si>
  <si>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</si>
  <si>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</si>
  <si>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</si>
  <si>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</si>
  <si>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</si>
  <si>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</si>
  <si>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</si>
  <si>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</si>
  <si>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</si>
  <si>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</si>
  <si>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</si>
  <si>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</si>
  <si>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</si>
  <si>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</si>
  <si>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</si>
  <si>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</si>
  <si>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</si>
  <si>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</si>
  <si>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</si>
  <si>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</si>
  <si>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</si>
  <si>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</si>
  <si>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</si>
  <si>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</si>
  <si>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</si>
  <si>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</si>
  <si>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</si>
  <si>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</si>
  <si>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</si>
  <si>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</si>
  <si>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</si>
  <si>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</si>
  <si>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</si>
  <si>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</si>
  <si>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</si>
  <si>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</si>
  <si>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</si>
  <si>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</si>
  <si>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</si>
  <si>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</si>
  <si>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</si>
  <si>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</si>
  <si>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</si>
  <si>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</si>
  <si>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</si>
  <si>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</si>
  <si>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</si>
  <si>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</si>
  <si>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</si>
  <si>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</si>
  <si>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</si>
  <si>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</si>
  <si>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</si>
  <si>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</si>
  <si>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</si>
  <si>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</si>
  <si>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</si>
  <si>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</si>
  <si>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</si>
  <si>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</si>
  <si>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</si>
  <si>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</si>
  <si>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</si>
  <si>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</si>
  <si>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</si>
  <si>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</si>
  <si>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</si>
  <si>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</si>
  <si>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</si>
  <si>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</si>
  <si>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</si>
  <si>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</si>
  <si>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</si>
  <si>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</si>
  <si>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</si>
  <si>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</si>
  <si>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</si>
  <si>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</si>
  <si>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</si>
  <si>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</si>
  <si>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</si>
  <si>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</si>
  <si>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</si>
  <si>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</si>
  <si>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</si>
  <si>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</si>
  <si>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</si>
  <si>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</si>
  <si>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</si>
  <si>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</si>
  <si>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</si>
  <si>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</si>
  <si>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</si>
  <si>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</si>
  <si>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</si>
  <si>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</si>
  <si>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</si>
  <si>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</si>
  <si>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</si>
  <si>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</si>
  <si>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</si>
  <si>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</si>
  <si>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</si>
  <si>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</si>
  <si>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</si>
  <si>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</si>
  <si>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</si>
  <si>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</si>
  <si>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</si>
  <si>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</si>
  <si>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</si>
  <si>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</si>
  <si>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</si>
  <si>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</si>
  <si>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</si>
  <si>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</si>
  <si>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</si>
  <si>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</si>
  <si>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</si>
  <si>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</si>
  <si>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</si>
  <si>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Habitats units required to meet target</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</si>
  <si>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</si>
  <si>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</si>
  <si>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</si>
  <si>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</si>
  <si>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</si>
  <si>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</si>
  <si>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</si>
  <si>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</si>
  <si>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</si>
  <si>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</si>
  <si>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</si>
  <si>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</si>
  <si>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</si>
  <si>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</si>
  <si>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</si>
  <si>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</si>
  <si>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</si>
  <si>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</si>
  <si>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</si>
  <si>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</si>
  <si>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</si>
  <si>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</si>
  <si>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</si>
  <si>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</si>
  <si>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</si>
  <si>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</si>
  <si>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</si>
  <si>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</si>
  <si>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</si>
  <si>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</si>
  <si>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</si>
  <si>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</si>
  <si>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</si>
  <si>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</si>
  <si>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</si>
  <si>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</si>
  <si>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</si>
  <si>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</si>
  <si>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</si>
  <si>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</si>
  <si>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</si>
  <si>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</si>
  <si>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</si>
  <si>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</si>
  <si>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</si>
  <si>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</si>
  <si>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</si>
  <si>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</si>
  <si>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</si>
  <si>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</si>
  <si>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</si>
  <si>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</si>
  <si>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</si>
  <si>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</si>
  <si>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</si>
  <si>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</si>
  <si>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</si>
  <si>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</si>
  <si>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</si>
  <si>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</si>
  <si>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</si>
  <si>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</si>
  <si>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</si>
  <si>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</si>
  <si>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</si>
  <si>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</si>
  <si>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</si>
  <si>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</si>
  <si>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</si>
  <si>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</si>
  <si>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</si>
  <si>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</si>
  <si>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</si>
  <si>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</si>
  <si>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</si>
  <si>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</si>
  <si>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</si>
  <si>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</si>
  <si>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</si>
  <si>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</si>
  <si>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</si>
  <si>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</si>
  <si>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</si>
  <si>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</si>
  <si>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</si>
  <si>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</si>
  <si>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</si>
  <si>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</si>
  <si>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</si>
  <si>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</si>
  <si>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</si>
  <si>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</si>
  <si>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</si>
  <si>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</si>
  <si>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</si>
  <si>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</si>
  <si>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</si>
  <si>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</si>
  <si>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</si>
  <si>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</si>
  <si>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</si>
  <si>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</si>
  <si>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</si>
  <si>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</si>
  <si>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</si>
  <si>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</si>
  <si>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</si>
  <si>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</si>
  <si>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</si>
  <si>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</si>
  <si>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</si>
  <si>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</si>
  <si>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</si>
  <si>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</si>
  <si>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</si>
  <si>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</si>
  <si>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</si>
  <si>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</si>
  <si>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</si>
  <si>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</si>
  <si>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</si>
  <si>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</si>
  <si>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</si>
  <si>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</si>
  <si>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</si>
  <si>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</si>
  <si>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</si>
  <si>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</si>
  <si>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</si>
  <si>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</si>
  <si>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</si>
  <si>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</si>
  <si>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</si>
  <si>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</si>
  <si>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</si>
  <si>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</si>
  <si>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</si>
  <si>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</si>
  <si>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</si>
  <si>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</si>
  <si>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</si>
  <si>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</si>
  <si>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</si>
  <si>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</si>
  <si>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</si>
  <si>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</si>
  <si>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</si>
  <si>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</si>
  <si>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</si>
  <si>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</si>
  <si>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</si>
  <si>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</si>
  <si>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</si>
  <si>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</si>
  <si>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</si>
  <si>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</si>
  <si>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</si>
  <si>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</si>
  <si>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</si>
  <si>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</si>
  <si>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</si>
  <si>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</si>
  <si>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</si>
  <si>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</si>
  <si>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</si>
  <si>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</si>
  <si>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</si>
  <si>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</si>
  <si>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</si>
  <si>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</si>
  <si>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</si>
  <si>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</si>
  <si>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</si>
  <si>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</si>
  <si>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</si>
  <si>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</si>
  <si>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</si>
  <si>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</si>
  <si>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</si>
  <si>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</si>
  <si>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</si>
  <si>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</si>
  <si>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</si>
  <si>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</si>
  <si>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</si>
  <si>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</si>
  <si>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</si>
  <si>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</si>
  <si>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</si>
  <si>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</si>
  <si>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</si>
  <si>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</si>
  <si>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</si>
  <si>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</si>
  <si>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</si>
  <si>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</si>
  <si>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</si>
  <si>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</si>
  <si>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</si>
  <si>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</si>
  <si>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</si>
  <si>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</si>
  <si>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</si>
  <si>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</si>
  <si>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</si>
  <si>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</si>
  <si>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Distinctiveness categories</t>
  </si>
  <si>
    <t>Condition categories</t>
  </si>
  <si>
    <t>Temporal multipliers</t>
  </si>
  <si>
    <t>Hedges Distinctiveness categories</t>
  </si>
  <si>
    <t>Barnsley Metropolitan Borough Council</t>
  </si>
  <si>
    <t>Removal/variation of conditions</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</si>
  <si>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</si>
  <si>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</si>
  <si>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</si>
  <si>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</si>
  <si>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</si>
  <si>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</si>
  <si>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</si>
  <si>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</si>
  <si>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</si>
  <si>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</si>
  <si>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</si>
  <si>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</si>
  <si>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</si>
  <si>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</si>
  <si>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</si>
  <si>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</si>
  <si>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</si>
  <si>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Very Large</t>
  </si>
  <si>
    <t>Bath and North East Somerset Council</t>
  </si>
  <si>
    <t>Other</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</si>
  <si>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</si>
  <si>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</si>
  <si>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</si>
  <si>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</si>
  <si>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</si>
  <si>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</si>
  <si>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</si>
  <si>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</si>
  <si>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</si>
  <si>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</si>
  <si>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</si>
  <si>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</si>
  <si>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</si>
  <si>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</si>
  <si>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</si>
  <si>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</si>
  <si>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</si>
  <si>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</si>
  <si>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</si>
  <si>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</si>
  <si>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</si>
  <si>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</si>
  <si>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</si>
  <si>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</si>
  <si>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</si>
  <si>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</si>
  <si>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</si>
  <si>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</si>
  <si>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</si>
  <si>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</si>
  <si>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</si>
  <si>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</si>
  <si>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</si>
  <si>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</si>
  <si>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</si>
  <si>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</si>
  <si>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</si>
  <si>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</si>
  <si>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</si>
  <si>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</si>
  <si>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</si>
  <si>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</si>
  <si>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</si>
  <si>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</si>
  <si>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</si>
  <si>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</si>
  <si>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</si>
  <si>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</si>
  <si>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</si>
  <si>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</si>
  <si>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</si>
  <si>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</si>
  <si>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</si>
  <si>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</si>
  <si>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</si>
  <si>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</si>
  <si>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</si>
  <si>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</si>
  <si>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</si>
  <si>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</si>
  <si>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</si>
  <si>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</si>
  <si>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</si>
  <si>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</si>
  <si>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</si>
  <si>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</si>
  <si>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</si>
  <si>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</si>
  <si>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</si>
  <si>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</si>
  <si>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</si>
  <si>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</si>
  <si>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</si>
  <si>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</si>
  <si>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</si>
  <si>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</si>
  <si>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</si>
  <si>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</si>
  <si>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</si>
  <si>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</si>
  <si>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</si>
  <si>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</si>
  <si>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</si>
  <si>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</si>
  <si>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</si>
  <si>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</si>
  <si>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</si>
  <si>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</si>
  <si>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</si>
  <si>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</si>
  <si>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</si>
  <si>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</si>
  <si>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</si>
  <si>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</si>
  <si>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</si>
  <si>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</si>
  <si>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</si>
  <si>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</si>
  <si>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</si>
  <si>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</si>
  <si>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</si>
  <si>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</si>
  <si>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</si>
  <si>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</si>
  <si>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</si>
  <si>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</si>
  <si>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</si>
  <si>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</si>
  <si>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</si>
  <si>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</si>
  <si>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</si>
  <si>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</si>
  <si>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</si>
  <si>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</si>
  <si>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</si>
  <si>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</si>
  <si>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</si>
  <si>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</si>
  <si>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</si>
  <si>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</si>
  <si>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</si>
  <si>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</si>
  <si>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</si>
  <si>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</si>
  <si>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</si>
  <si>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</si>
  <si>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</si>
  <si>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</si>
  <si>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</si>
  <si>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</si>
  <si>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</si>
  <si>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</si>
  <si>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</si>
  <si>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</si>
  <si>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</si>
  <si>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</si>
  <si>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</si>
  <si>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</si>
  <si>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</si>
  <si>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</si>
  <si>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</si>
  <si>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</si>
  <si>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</si>
  <si>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</si>
  <si>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</si>
  <si>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</si>
  <si>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</si>
  <si>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</si>
  <si>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</si>
  <si>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</si>
  <si>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</si>
  <si>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</si>
  <si>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</si>
  <si>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</si>
  <si>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</si>
  <si>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</si>
  <si>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</si>
  <si>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</si>
  <si>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</si>
  <si>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</si>
  <si>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</si>
  <si>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</si>
  <si>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</si>
  <si>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</si>
  <si>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</si>
  <si>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</si>
  <si>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</si>
  <si>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</si>
  <si>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</si>
  <si>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</si>
  <si>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</si>
  <si>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</si>
  <si>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</si>
  <si>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</si>
  <si>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</si>
  <si>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</si>
  <si>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</si>
  <si>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</si>
  <si>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</si>
  <si>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</si>
  <si>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</si>
  <si>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</si>
  <si>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</si>
  <si>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</si>
  <si>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</si>
  <si>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</si>
  <si>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</si>
  <si>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</si>
  <si>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</si>
  <si>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</si>
  <si>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</si>
  <si>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</si>
  <si>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</si>
  <si>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</si>
  <si>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</si>
  <si>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</si>
  <si>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</si>
  <si>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</si>
  <si>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</si>
  <si>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</si>
  <si>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</si>
  <si>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</si>
  <si>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</si>
  <si>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</si>
  <si>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</si>
  <si>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</si>
  <si>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</si>
  <si>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</si>
  <si>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</si>
  <si>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</si>
  <si>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</si>
  <si>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</si>
  <si>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</si>
  <si>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</si>
  <si>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</si>
  <si>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</si>
  <si>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</si>
  <si>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</si>
  <si>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</si>
  <si>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</si>
  <si>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</si>
  <si>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</si>
  <si>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</si>
  <si>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</si>
  <si>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</si>
  <si>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</si>
  <si>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</si>
  <si>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</si>
  <si>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</si>
  <si>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</si>
  <si>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</si>
  <si>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</si>
  <si>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</si>
  <si>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</si>
  <si>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</si>
  <si>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</si>
  <si>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</si>
  <si>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</si>
  <si>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</si>
  <si>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</si>
  <si>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</si>
  <si>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</si>
  <si>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</si>
  <si>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</si>
  <si>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</si>
  <si>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</si>
  <si>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</si>
  <si>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</si>
  <si>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</si>
  <si>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</si>
  <si>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</si>
  <si>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</si>
  <si>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</si>
  <si>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</si>
  <si>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</si>
  <si>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</si>
  <si>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</si>
  <si>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</si>
  <si>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</si>
  <si>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</si>
  <si>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</si>
  <si>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</si>
  <si>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</si>
  <si>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</si>
  <si>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</si>
  <si>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</si>
  <si>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</si>
  <si>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</si>
  <si>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</si>
  <si>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</si>
  <si>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</si>
  <si>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</si>
  <si>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</si>
  <si>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</si>
  <si>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</si>
  <si>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</si>
  <si>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</si>
  <si>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</si>
  <si>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</si>
  <si>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</si>
  <si>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</si>
  <si>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</si>
  <si>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</si>
  <si>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</si>
  <si>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</si>
  <si>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</si>
  <si>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</si>
  <si>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</si>
  <si>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</si>
  <si>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</si>
  <si>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</si>
  <si>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</si>
  <si>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</si>
  <si>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</si>
  <si>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</si>
  <si>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</si>
  <si>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</si>
  <si>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</si>
  <si>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</si>
  <si>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</si>
  <si>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</si>
  <si>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</si>
  <si>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</si>
  <si>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</si>
  <si>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</si>
  <si>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</si>
  <si>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</si>
  <si>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</si>
  <si>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</si>
  <si>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</si>
  <si>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</si>
  <si>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</si>
  <si>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</si>
  <si>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</si>
  <si>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</si>
  <si>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</si>
  <si>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</si>
  <si>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</si>
  <si>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</si>
  <si>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</si>
  <si>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</si>
  <si>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</si>
  <si>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</si>
  <si>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</si>
  <si>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</si>
  <si>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</si>
  <si>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</si>
  <si>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</si>
  <si>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</si>
  <si>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</si>
  <si>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</si>
  <si>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</si>
  <si>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</si>
  <si>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</si>
  <si>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</si>
  <si>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</si>
  <si>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</si>
  <si>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</si>
  <si>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</si>
  <si>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</si>
  <si>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</si>
  <si>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</si>
  <si>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</si>
  <si>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</si>
  <si>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</si>
  <si>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</si>
  <si>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</si>
  <si>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</si>
  <si>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</si>
  <si>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</si>
  <si>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</si>
  <si>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</si>
  <si>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</si>
  <si>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</si>
  <si>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</si>
  <si>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</si>
  <si>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</si>
  <si>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</si>
  <si>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</si>
  <si>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</si>
  <si>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</si>
  <si>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</si>
  <si>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</si>
  <si>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</si>
  <si>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</si>
  <si>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</si>
  <si>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</si>
  <si>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</si>
  <si>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</si>
  <si>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</si>
  <si>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</si>
  <si>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</si>
  <si>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</si>
  <si>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</si>
  <si>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</si>
  <si>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</si>
  <si>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</si>
  <si>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</si>
  <si>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</si>
  <si>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</si>
  <si>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</si>
  <si>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</si>
  <si>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</si>
  <si>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</si>
  <si>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</si>
  <si>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</si>
  <si>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</si>
  <si>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</si>
  <si>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</si>
  <si>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</si>
  <si>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</si>
  <si>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</si>
  <si>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</si>
  <si>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</si>
  <si>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</si>
  <si>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</si>
  <si>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</si>
  <si>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</si>
  <si>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</si>
  <si>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</si>
  <si>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</si>
  <si>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</si>
  <si>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</si>
  <si>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</si>
  <si>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</si>
  <si>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</si>
  <si>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</si>
  <si>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</si>
  <si>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</si>
  <si>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</si>
  <si>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</si>
  <si>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</si>
  <si>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</si>
  <si>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</si>
  <si>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</si>
  <si>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</si>
  <si>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</si>
  <si>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</si>
  <si>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</si>
  <si>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</si>
  <si>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</si>
  <si>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</si>
  <si>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</si>
  <si>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</si>
  <si>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</si>
  <si>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</si>
  <si>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</si>
  <si>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</si>
  <si>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</si>
  <si>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</si>
  <si>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</si>
  <si>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</si>
  <si>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</si>
  <si>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</si>
  <si>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</si>
  <si>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</si>
  <si>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</si>
  <si>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</si>
  <si>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</si>
  <si>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</si>
  <si>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</si>
  <si>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</si>
  <si>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</si>
  <si>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</si>
  <si>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</si>
  <si>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</si>
  <si>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</si>
  <si>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</si>
  <si>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</si>
  <si>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</si>
  <si>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</si>
  <si>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</si>
  <si>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</si>
  <si>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</si>
  <si>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</si>
  <si>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</si>
  <si>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</si>
  <si>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</si>
  <si>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</si>
  <si>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</si>
  <si>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</si>
  <si>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</si>
  <si>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</si>
  <si>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</si>
  <si>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</si>
  <si>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</si>
  <si>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</si>
  <si>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</si>
  <si>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</si>
  <si>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</si>
  <si>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</si>
  <si>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</si>
  <si>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</si>
  <si>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</si>
  <si>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</si>
  <si>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</si>
  <si>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</si>
  <si>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</si>
  <si>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</si>
  <si>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</si>
  <si>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</si>
  <si>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</si>
  <si>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</si>
  <si>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</si>
  <si>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</si>
  <si>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</si>
  <si>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</si>
  <si>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</si>
  <si>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</si>
  <si>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</si>
  <si>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</si>
  <si>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</si>
  <si>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</si>
  <si>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</si>
  <si>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</si>
  <si>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</si>
  <si>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</si>
  <si>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</si>
  <si>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</si>
  <si>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</si>
  <si>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</si>
  <si>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</si>
  <si>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</si>
  <si>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</si>
  <si>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</si>
  <si>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</si>
  <si>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</si>
  <si>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</si>
  <si>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</si>
  <si>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</si>
  <si>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</si>
  <si>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</si>
  <si>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</si>
  <si>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</si>
  <si>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</si>
  <si>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</si>
  <si>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</si>
  <si>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Walkover completed by competent person</t>
  </si>
  <si>
    <t>Nicholas Braybrook, Ecologist</t>
  </si>
  <si>
    <t>Residential</t>
  </si>
  <si>
    <t>Between 1 - 9 dwellings</t>
  </si>
  <si>
    <t>Land to the Rear of 292 Henley Road, Reading</t>
  </si>
  <si>
    <t>Sedum roof to new bike store</t>
  </si>
  <si>
    <t>Proposed dwelling</t>
  </si>
  <si>
    <t>Private garden</t>
  </si>
  <si>
    <t>Proposed driveway and patio</t>
  </si>
  <si>
    <t>Existing garden</t>
  </si>
  <si>
    <t>Mrs M Kehoe</t>
  </si>
  <si>
    <t>A</t>
  </si>
  <si>
    <t>Nicholas Braybrook, Senior Ecologist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</si>
</sst>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5"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56">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0" fontId="0" fillId="7" borderId="2" xfId="0" applyFill="1" applyBorder="1" applyAlignment="1">
      <alignment horizontal="center" vertical="center" wrapText="1"/>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0" fillId="21" borderId="20" xfId="0" applyFill="1" applyBorder="1" applyAlignment="1" applyProtection="1">
      <alignment horizontal="center" vertical="center" wrapText="1"/>
      <protection locked="0"/>
    </xf>
    <xf numFmtId="0" fontId="0" fillId="21" borderId="25" xfId="0" applyFill="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21" borderId="76" xfId="0" applyFill="1"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26" borderId="28" xfId="0" applyFill="1" applyBorder="1" applyAlignment="1" applyProtection="1">
      <alignment horizontal="center" vertical="center" wrapText="1"/>
      <protection locked="0"/>
    </xf>
    <xf numFmtId="0" fontId="0" fillId="26" borderId="20" xfId="0" applyFill="1" applyBorder="1" applyAlignment="1" applyProtection="1">
      <alignment horizontal="center" vertical="center" wrapText="1"/>
      <protection locked="0"/>
    </xf>
    <xf numFmtId="0" fontId="0" fillId="26" borderId="15" xfId="0" applyFill="1" applyBorder="1" applyAlignment="1" applyProtection="1">
      <alignment horizontal="center" vertical="center" wrapText="1"/>
      <protection locked="0"/>
    </xf>
    <xf numFmtId="0" fontId="0" fillId="26" borderId="11" xfId="0" applyFill="1" applyBorder="1" applyAlignment="1" applyProtection="1">
      <alignment horizontal="center" vertical="center" wrapText="1"/>
      <protection locked="0"/>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lignment horizontal="center" vertical="center" wrapText="1"/>
    </xf>
    <xf numFmtId="0" fontId="0" fillId="7" borderId="2" xfId="0" applyFill="1" applyBorder="1" applyAlignment="1">
      <alignment horizontal="center" vertical="center" wrapText="1"/>
    </xf>
    <xf numFmtId="0" fontId="0" fillId="7" borderId="3" xfId="0"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165" fontId="0" fillId="25" borderId="34"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165"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284">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9" tint="0.39994506668294322"/>
        </patternFill>
      </fill>
    </dxf>
    <dxf>
      <fill>
        <patternFill>
          <bgColor theme="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F2EAD9"/>
      <color rgb="FFFFFF99"/>
      <color rgb="FFFFCCFF"/>
      <color rgb="FF305496"/>
      <color rgb="FFBDD7EE"/>
      <color rgb="FF005E5C"/>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0.13396</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3.4199599999999997E-2</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501650</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900" y="0"/>
          <a:ext cx="5737225" cy="5419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3" headerRowBorderDxfId="282" tableBorderDxfId="281" totalsRowBorderDxfId="280">
  <autoFilter ref="A1:A11" xr:uid="{D3D48E5C-DC0B-41A4-A0A0-527C1359656D}"/>
  <tableColumns count="1">
    <tableColumn id="1" xr3:uid="{520E3FA0-67BF-4785-A0AD-C78B48FCFF4F}" name="Broadhabitattype" dataDxfId="27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78" headerRowBorderDxfId="277" tableBorderDxfId="276" totalsRowBorderDxfId="275">
  <autoFilter ref="C1:C11" xr:uid="{EBAB9D5E-B0CF-4D1D-ADB7-E5493557887B}"/>
  <tableColumns count="1">
    <tableColumn id="1" xr3:uid="{7B1F58A2-C65F-4A69-B2AC-B9D36F77D859}" name="Cropland" dataDxfId="27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3" headerRowBorderDxfId="272" tableBorderDxfId="271" totalsRowBorderDxfId="270">
  <autoFilter ref="E1:E6" xr:uid="{9B064C4C-4D73-4D0F-9BDF-647780F59E66}"/>
  <tableColumns count="1">
    <tableColumn id="1" xr3:uid="{435B0EB9-C4DC-435C-8E01-4D49B6A757E3}" name="Grassland" dataDxfId="26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68" headerRowBorderDxfId="267" tableBorderDxfId="266" totalsRowBorderDxfId="265">
  <autoFilter ref="G1:G10" xr:uid="{A85BEA36-76EB-4A0E-A53F-61D293877434}"/>
  <tableColumns count="1">
    <tableColumn id="1" xr3:uid="{4DB9D90D-064B-4D7C-BA34-C168290E28EA}" name="Heathlandandshrub" dataDxfId="26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3" headerRowBorderDxfId="262" tableBorderDxfId="261" totalsRowBorderDxfId="260">
  <autoFilter ref="I1:I4" xr:uid="{C6C9FE5A-CC8A-40B8-8EA0-DB758CFDE554}"/>
  <tableColumns count="1">
    <tableColumn id="1" xr3:uid="{C0FE31C6-CA6F-4DE0-AFB8-FFF60A016160}" name="Intertidalhardstructures" dataDxfId="25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58" headerRowBorderDxfId="257" tableBorderDxfId="256" totalsRowBorderDxfId="255">
  <autoFilter ref="K1:K10" xr:uid="{7797F585-D0F9-47FE-BA9D-388927B61768}"/>
  <tableColumns count="1">
    <tableColumn id="1" xr3:uid="{75E4C119-EC80-44EC-8E72-378235CE41D5}" name="Intertidalsediment" dataDxfId="25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3" headerRowBorderDxfId="252" tableBorderDxfId="251" totalsRowBorderDxfId="250">
  <autoFilter ref="M1:M4" xr:uid="{ACDCCD93-F593-4714-B731-26DAF0559CC2}"/>
  <tableColumns count="1">
    <tableColumn id="1" xr3:uid="{EC598AF1-76EB-4F02-9796-356409435C67}" name="Lakes" dataDxfId="24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48" headerRowBorderDxfId="247" tableBorderDxfId="246" totalsRowBorderDxfId="24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44" headerRowBorderDxfId="243" tableBorderDxfId="242" totalsRowBorderDxfId="241">
  <autoFilter ref="Q1:Q21" xr:uid="{01B2E67C-1501-41B2-8D62-A3A34C54A10D}"/>
  <tableColumns count="1">
    <tableColumn id="1" xr3:uid="{8CCDD882-E68F-4342-BB3A-C070B69D5CD8}" name="Urban" dataDxfId="24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39" headerRowBorderDxfId="238" tableBorderDxfId="237" totalsRowBorderDxfId="236">
  <autoFilter ref="S1:S5" xr:uid="{30F074BA-9A05-4036-B433-08ADAAF4B4D6}"/>
  <tableColumns count="1">
    <tableColumn id="1" xr3:uid="{E418E0FC-1774-4279-88F2-AFFD97CEAA34}" name="Woodlandandforest" dataDxfId="23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34" headerRowBorderDxfId="233" tableBorderDxfId="232" totalsRowBorderDxfId="231">
  <autoFilter ref="U1:U10" xr:uid="{C184E532-E77C-4872-89E0-8E85C5B1D65C}"/>
  <tableColumns count="1">
    <tableColumn id="1" xr3:uid="{13BB9483-7385-4659-8AAD-FDCAD7546C50}" name="HedgerowsandLinesoftrees" dataDxfId="23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29" headerRowBorderDxfId="228" tableBorderDxfId="227" totalsRowBorderDxfId="226">
  <autoFilter ref="W1:W5" xr:uid="{9B1AD1A4-0D15-4CE8-AEA8-06A4E9EF94B6}"/>
  <tableColumns count="1">
    <tableColumn id="1" xr3:uid="{DBBD35C5-EECC-4041-95E4-573CBFBFA8F1}" name="Lineoftrees" dataDxfId="22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24" headerRowBorderDxfId="223" tableBorderDxfId="222" totalsRowBorderDxfId="221">
  <autoFilter ref="Y1:Y11" xr:uid="{54F032EE-B464-4AEB-BB7D-CACE48062226}"/>
  <tableColumns count="1">
    <tableColumn id="1" xr3:uid="{E7EC9414-85BB-4D8B-84A7-C259CAFC4970}" name="Watercourses" dataDxfId="22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19" headerRowBorderDxfId="218" tableBorderDxfId="217" totalsRowBorderDxfId="216">
  <autoFilter ref="AA1:AA2" xr:uid="{C64B59BF-D198-400E-9C6C-CB6989FBD588}"/>
  <tableColumns count="1">
    <tableColumn id="1" xr3:uid="{17A67DAE-E9E9-4299-B10B-B8A5BA9F3223}" name="Coastalsaltmarsh" dataDxfId="21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14" headerRowBorderDxfId="213" tableBorderDxfId="212" totalsRowBorderDxfId="211">
  <autoFilter ref="AC1:AC3" xr:uid="{A1EEA68B-5F0F-4FD5-BC78-52500D979E9E}"/>
  <tableColumns count="1">
    <tableColumn id="1" xr3:uid="{C5904444-F3B6-4000-BCFD-109B9DBB2003}" name="Individualtrees" dataDxfId="21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tabSelected="1" zoomScale="80" zoomScaleNormal="80" workbookViewId="0">
      <selection activeCell="H35" sqref="H35"/>
    </sheetView>
  </sheetViews>
  <sheetFormatPr defaultColWidth="0" defaultRowHeight="15" zeroHeight="1" x14ac:dyDescent="0.25"/>
  <cols>
    <col min="1" max="1" width="3.5703125" customWidth="1"/>
    <col min="2" max="6" width="8.7109375" customWidth="1"/>
    <col min="7" max="7" width="11.7109375" customWidth="1"/>
    <col min="8" max="8" width="8.7109375" customWidth="1"/>
    <col min="9" max="9" width="12.7109375" customWidth="1"/>
    <col min="10" max="10" width="14.7109375" customWidth="1"/>
    <col min="11" max="18" width="8.7109375" customWidth="1"/>
    <col min="19" max="19" width="3.7109375" customWidth="1"/>
    <col min="20" max="30" width="8.7109375" hidden="1" customWidth="1"/>
    <col min="31" max="16384" width="8.7109375" hidden="1"/>
  </cols>
  <sheetData>
    <row r="1" spans="1:30" x14ac:dyDescent="0.25">
      <c r="A1" s="25"/>
      <c r="B1" s="25"/>
      <c r="C1" s="25"/>
      <c r="D1" s="581"/>
      <c r="E1" s="581"/>
      <c r="F1" s="581"/>
      <c r="G1" s="581"/>
      <c r="H1" s="581"/>
      <c r="I1" s="581"/>
      <c r="J1" s="581"/>
      <c r="K1" s="25"/>
      <c r="L1" s="25"/>
      <c r="M1" s="25"/>
      <c r="N1" s="25"/>
      <c r="O1" s="25"/>
      <c r="P1" s="25"/>
      <c r="Q1" s="25"/>
      <c r="R1" s="25"/>
      <c r="S1" s="25"/>
      <c r="T1" s="25"/>
      <c r="U1" s="25"/>
      <c r="V1" s="25"/>
      <c r="W1" s="25"/>
      <c r="X1" s="25"/>
      <c r="Y1" s="25"/>
      <c r="Z1" s="25"/>
      <c r="AA1" s="25"/>
      <c r="AB1" s="25"/>
      <c r="AC1" s="25"/>
      <c r="AD1" s="25"/>
    </row>
    <row r="2" spans="1:30" x14ac:dyDescent="0.25">
      <c r="A2" s="25"/>
      <c r="B2" s="25"/>
      <c r="C2" s="25"/>
      <c r="D2" s="581"/>
      <c r="E2" s="581"/>
      <c r="F2" s="581"/>
      <c r="G2" s="581"/>
      <c r="H2" s="581"/>
      <c r="I2" s="581"/>
      <c r="J2" s="581"/>
      <c r="K2" s="25"/>
      <c r="L2" s="25"/>
      <c r="M2" s="25"/>
      <c r="N2" s="25"/>
      <c r="O2" s="25"/>
      <c r="P2" s="25"/>
      <c r="Q2" s="25"/>
      <c r="R2" s="25"/>
      <c r="S2" s="25"/>
      <c r="T2" s="25"/>
      <c r="U2" s="25"/>
      <c r="V2" s="25"/>
      <c r="W2" s="25"/>
      <c r="X2" s="25"/>
      <c r="Y2" s="25"/>
      <c r="Z2" s="25"/>
      <c r="AA2" s="25"/>
      <c r="AB2" s="25"/>
      <c r="AC2" s="25"/>
      <c r="AD2" s="25"/>
    </row>
    <row r="3" spans="1:30" x14ac:dyDescent="0.25">
      <c r="A3" s="25"/>
      <c r="B3" s="25"/>
      <c r="C3" s="25"/>
      <c r="D3" s="581"/>
      <c r="E3" s="581"/>
      <c r="F3" s="581"/>
      <c r="G3" s="581"/>
      <c r="H3" s="581"/>
      <c r="I3" s="581"/>
      <c r="J3" s="581"/>
      <c r="K3" s="25"/>
      <c r="L3" s="25"/>
      <c r="M3" s="25"/>
      <c r="N3" s="25"/>
      <c r="O3" s="25"/>
      <c r="P3" s="25"/>
      <c r="Q3" s="25"/>
      <c r="R3" s="25"/>
      <c r="S3" s="25"/>
      <c r="T3" s="25"/>
      <c r="U3" s="25"/>
      <c r="V3" s="25"/>
      <c r="W3" s="25"/>
      <c r="X3" s="25"/>
      <c r="Y3" s="25"/>
      <c r="Z3" s="25"/>
      <c r="AA3" s="25"/>
      <c r="AB3" s="25"/>
      <c r="AC3" s="25"/>
      <c r="AD3" s="25"/>
    </row>
    <row r="4" spans="1:30" x14ac:dyDescent="0.25">
      <c r="A4" s="25"/>
      <c r="B4" s="25"/>
      <c r="C4" s="25"/>
      <c r="D4" s="581"/>
      <c r="E4" s="581"/>
      <c r="F4" s="581"/>
      <c r="G4" s="581"/>
      <c r="H4" s="581"/>
      <c r="I4" s="581"/>
      <c r="J4" s="581"/>
      <c r="K4" s="25"/>
      <c r="L4" s="25"/>
      <c r="M4" s="25"/>
      <c r="N4" s="25"/>
      <c r="O4" s="25"/>
      <c r="P4" s="25"/>
      <c r="Q4" s="25"/>
      <c r="R4" s="25"/>
      <c r="S4" s="25"/>
      <c r="T4" s="25"/>
      <c r="U4" s="25"/>
      <c r="V4" s="25"/>
      <c r="W4" s="25"/>
      <c r="X4" s="25"/>
      <c r="Y4" s="25"/>
      <c r="Z4" s="25"/>
      <c r="AA4" s="25"/>
      <c r="AB4" s="25"/>
      <c r="AC4" s="25"/>
      <c r="AD4" s="25"/>
    </row>
    <row r="5" spans="1:30" x14ac:dyDescent="0.25">
      <c r="A5" s="25"/>
      <c r="B5" s="25"/>
      <c r="C5" s="25"/>
      <c r="D5" s="581"/>
      <c r="E5" s="581"/>
      <c r="F5" s="581"/>
      <c r="G5" s="581"/>
      <c r="H5" s="581"/>
      <c r="I5" s="581"/>
      <c r="J5" s="581"/>
      <c r="K5" s="25"/>
      <c r="L5" s="25"/>
      <c r="M5" s="25"/>
      <c r="N5" s="25"/>
      <c r="O5" s="25"/>
      <c r="P5" s="25"/>
      <c r="Q5" s="25"/>
      <c r="R5" s="25"/>
      <c r="S5" s="25"/>
      <c r="T5" s="25"/>
      <c r="U5" s="25"/>
      <c r="V5" s="25"/>
      <c r="W5" s="25"/>
      <c r="X5" s="25"/>
      <c r="Y5" s="25"/>
      <c r="Z5" s="25"/>
      <c r="AA5" s="25"/>
      <c r="AB5" s="25"/>
      <c r="AC5" s="25"/>
      <c r="AD5" s="25"/>
    </row>
    <row r="6" spans="1:30" x14ac:dyDescent="0.25">
      <c r="A6" s="161" t="s">
        <v>0</v>
      </c>
      <c r="B6" s="583" t="s">
        <v>1</v>
      </c>
      <c r="C6" s="584"/>
      <c r="D6" s="584"/>
      <c r="E6" s="584"/>
      <c r="F6" s="584"/>
      <c r="G6" s="584"/>
      <c r="H6" s="584"/>
      <c r="I6" s="584"/>
      <c r="J6" s="584"/>
      <c r="K6" s="25"/>
      <c r="L6" s="25"/>
      <c r="M6" s="25"/>
      <c r="N6" s="25"/>
      <c r="O6" s="25"/>
      <c r="P6" s="25"/>
      <c r="Q6" s="25"/>
      <c r="R6" s="25"/>
      <c r="S6" s="25"/>
      <c r="T6" s="25"/>
      <c r="U6" s="25"/>
      <c r="V6" s="25"/>
      <c r="W6" s="25"/>
      <c r="X6" s="25"/>
      <c r="Y6" s="25"/>
      <c r="Z6" s="25"/>
      <c r="AA6" s="25"/>
      <c r="AB6" s="25"/>
      <c r="AC6" s="25"/>
      <c r="AD6" s="25"/>
    </row>
    <row r="7" spans="1:30" x14ac:dyDescent="0.25">
      <c r="A7" s="25"/>
      <c r="B7" s="584"/>
      <c r="C7" s="584"/>
      <c r="D7" s="584"/>
      <c r="E7" s="584"/>
      <c r="F7" s="584"/>
      <c r="G7" s="584"/>
      <c r="H7" s="584"/>
      <c r="I7" s="584"/>
      <c r="J7" s="584"/>
      <c r="K7" s="25"/>
      <c r="L7" s="25"/>
      <c r="M7" s="25"/>
      <c r="N7" s="25"/>
      <c r="O7" s="25"/>
      <c r="P7" s="25"/>
      <c r="Q7" s="25"/>
      <c r="R7" s="25"/>
      <c r="S7" s="25"/>
      <c r="T7" s="25"/>
      <c r="U7" s="25"/>
      <c r="V7" s="25"/>
      <c r="W7" s="25"/>
      <c r="X7" s="25"/>
      <c r="Y7" s="25"/>
      <c r="Z7" s="25"/>
      <c r="AA7" s="25"/>
      <c r="AB7" s="25"/>
      <c r="AC7" s="25"/>
      <c r="AD7" s="25"/>
    </row>
    <row r="8" spans="1:30" ht="28.5" customHeight="1" x14ac:dyDescent="0.25">
      <c r="A8" s="25"/>
      <c r="B8" s="584"/>
      <c r="C8" s="584"/>
      <c r="D8" s="584"/>
      <c r="E8" s="584"/>
      <c r="F8" s="584"/>
      <c r="G8" s="584"/>
      <c r="H8" s="584"/>
      <c r="I8" s="584"/>
      <c r="J8" s="584"/>
      <c r="K8" s="25"/>
      <c r="L8" s="25"/>
      <c r="M8" s="25"/>
      <c r="N8" s="25"/>
      <c r="O8" s="25"/>
      <c r="P8" s="25"/>
      <c r="Q8" s="25"/>
      <c r="R8" s="25"/>
      <c r="S8" s="25"/>
      <c r="T8" s="25"/>
      <c r="U8" s="25"/>
      <c r="V8" s="25"/>
      <c r="W8" s="25"/>
      <c r="X8" s="25"/>
      <c r="Y8" s="25"/>
      <c r="Z8" s="25"/>
      <c r="AA8" s="25"/>
      <c r="AB8" s="25"/>
      <c r="AC8" s="25"/>
      <c r="AD8" s="25"/>
    </row>
    <row r="9" spans="1:30" ht="14.65" customHeight="1" x14ac:dyDescent="0.25">
      <c r="A9" s="25"/>
      <c r="B9" s="585"/>
      <c r="C9" s="585"/>
      <c r="D9" s="585"/>
      <c r="E9" s="585"/>
      <c r="F9" s="585"/>
      <c r="G9" s="585"/>
      <c r="H9" s="585"/>
      <c r="I9" s="585"/>
      <c r="J9" s="585"/>
      <c r="K9" s="25"/>
      <c r="L9" s="25"/>
      <c r="M9" s="25"/>
      <c r="N9" s="25"/>
      <c r="O9" s="25"/>
      <c r="P9" s="25"/>
      <c r="Q9" s="25"/>
      <c r="R9" s="25"/>
      <c r="S9" s="25"/>
      <c r="T9" s="25"/>
      <c r="U9" s="25"/>
      <c r="V9" s="25"/>
      <c r="W9" s="25"/>
      <c r="X9" s="25"/>
      <c r="Y9" s="25"/>
      <c r="Z9" s="25"/>
      <c r="AA9" s="25"/>
      <c r="AB9" s="25"/>
      <c r="AC9" s="25"/>
      <c r="AD9" s="25"/>
    </row>
    <row r="10" spans="1:30" ht="20.65" customHeight="1" x14ac:dyDescent="0.25">
      <c r="A10" s="25"/>
      <c r="B10" s="585"/>
      <c r="C10" s="585"/>
      <c r="D10" s="585"/>
      <c r="E10" s="585"/>
      <c r="F10" s="585"/>
      <c r="G10" s="585"/>
      <c r="H10" s="585"/>
      <c r="I10" s="585"/>
      <c r="J10" s="585"/>
      <c r="K10" s="25"/>
      <c r="L10" s="25"/>
      <c r="M10" s="25"/>
      <c r="N10" s="25"/>
      <c r="O10" s="25"/>
      <c r="P10" s="25"/>
      <c r="Q10" s="25"/>
      <c r="R10" s="25"/>
      <c r="S10" s="25"/>
      <c r="T10" s="25"/>
      <c r="U10" s="25"/>
      <c r="V10" s="25"/>
      <c r="W10" s="25"/>
      <c r="X10" s="25"/>
      <c r="Y10" s="25"/>
      <c r="Z10" s="25"/>
      <c r="AA10" s="25"/>
      <c r="AB10" s="25"/>
      <c r="AC10" s="25"/>
      <c r="AD10" s="25"/>
    </row>
    <row r="11" spans="1:30" x14ac:dyDescent="0.25">
      <c r="A11" s="25"/>
      <c r="B11" s="586" t="s">
        <v>2</v>
      </c>
      <c r="C11" s="586"/>
      <c r="D11" s="586"/>
      <c r="E11" s="586"/>
      <c r="F11" s="578" t="s">
        <v>3</v>
      </c>
      <c r="G11" s="578"/>
      <c r="H11" s="578"/>
      <c r="I11" s="578"/>
      <c r="J11" s="578"/>
      <c r="K11" s="25"/>
      <c r="L11" s="25"/>
      <c r="M11" s="25"/>
      <c r="N11" s="25"/>
      <c r="O11" s="25"/>
      <c r="P11" s="25"/>
      <c r="Q11" s="25"/>
      <c r="R11" s="25"/>
      <c r="S11" s="25"/>
      <c r="T11" s="25"/>
      <c r="U11" s="25"/>
      <c r="V11" s="25"/>
      <c r="W11" s="25"/>
      <c r="X11" s="25"/>
      <c r="Y11" s="25"/>
      <c r="Z11" s="25"/>
      <c r="AA11" s="25"/>
      <c r="AB11" s="25"/>
      <c r="AC11" s="25"/>
      <c r="AD11" s="25"/>
    </row>
    <row r="12" spans="1:30" x14ac:dyDescent="0.25">
      <c r="A12" s="25"/>
      <c r="B12" s="579"/>
      <c r="C12" s="579"/>
      <c r="D12" s="579"/>
      <c r="E12" s="579"/>
      <c r="F12" s="579"/>
      <c r="G12" s="579"/>
      <c r="H12" s="579"/>
      <c r="I12" s="579"/>
      <c r="J12" s="579"/>
      <c r="K12" s="25"/>
      <c r="L12" s="25"/>
      <c r="M12" s="25"/>
      <c r="N12" s="25"/>
      <c r="O12" s="25"/>
      <c r="P12" s="25"/>
      <c r="Q12" s="25"/>
      <c r="R12" s="25"/>
      <c r="S12" s="25"/>
      <c r="T12" s="25"/>
      <c r="U12" s="25"/>
      <c r="V12" s="25"/>
      <c r="W12" s="25"/>
      <c r="X12" s="25"/>
      <c r="Y12" s="25"/>
      <c r="Z12" s="25"/>
      <c r="AA12" s="25"/>
      <c r="AB12" s="25"/>
      <c r="AC12" s="25"/>
      <c r="AD12" s="25"/>
    </row>
    <row r="13" spans="1:30" x14ac:dyDescent="0.25">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65" customHeight="1" x14ac:dyDescent="0.25">
      <c r="A14" s="25"/>
      <c r="B14" s="580"/>
      <c r="C14" s="587"/>
      <c r="D14" s="587"/>
      <c r="E14" s="587"/>
      <c r="F14" s="587"/>
      <c r="G14" s="587"/>
      <c r="H14" s="587"/>
      <c r="I14" s="587"/>
      <c r="J14" s="587"/>
      <c r="K14" s="25"/>
      <c r="L14" s="25"/>
      <c r="M14" s="25"/>
      <c r="N14" s="25"/>
      <c r="O14" s="25"/>
      <c r="P14" s="25"/>
      <c r="Q14" s="25"/>
      <c r="R14" s="25"/>
      <c r="S14" s="25"/>
      <c r="T14" s="25"/>
      <c r="U14" s="25"/>
      <c r="V14" s="25"/>
      <c r="W14" s="25"/>
      <c r="X14" s="25"/>
      <c r="Y14" s="25"/>
      <c r="Z14" s="25"/>
      <c r="AA14" s="25"/>
      <c r="AB14" s="25"/>
      <c r="AC14" s="25"/>
      <c r="AD14" s="25"/>
    </row>
    <row r="15" spans="1:30" ht="81" customHeight="1" x14ac:dyDescent="0.25">
      <c r="A15" s="25"/>
      <c r="B15" s="580"/>
      <c r="C15" s="587"/>
      <c r="D15" s="587"/>
      <c r="E15" s="587"/>
      <c r="F15" s="587"/>
      <c r="G15" s="587"/>
      <c r="H15" s="587"/>
      <c r="I15" s="587"/>
      <c r="J15" s="587"/>
      <c r="K15" s="25"/>
      <c r="L15" s="25"/>
      <c r="M15" s="25"/>
      <c r="N15" s="25"/>
      <c r="O15" s="25"/>
      <c r="P15" s="25"/>
      <c r="Q15" s="25"/>
      <c r="R15" s="25"/>
      <c r="S15" s="25"/>
      <c r="T15" s="25"/>
      <c r="U15" s="25"/>
      <c r="V15" s="25"/>
      <c r="W15" s="25"/>
      <c r="X15" s="25"/>
      <c r="Y15" s="25"/>
      <c r="Z15" s="25"/>
      <c r="AA15" s="25"/>
      <c r="AB15" s="25"/>
      <c r="AC15" s="25"/>
      <c r="AD15" s="25"/>
    </row>
    <row r="16" spans="1:30" ht="21.6" customHeight="1" x14ac:dyDescent="0.25">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x14ac:dyDescent="0.35">
      <c r="A17" s="25"/>
      <c r="B17" s="582" t="s">
        <v>4</v>
      </c>
      <c r="C17" s="582"/>
      <c r="D17" s="582"/>
      <c r="E17" s="582"/>
      <c r="F17" s="582"/>
      <c r="G17" s="582"/>
      <c r="H17" s="582"/>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x14ac:dyDescent="0.3">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65" customHeight="1" x14ac:dyDescent="0.25">
      <c r="A19" s="25"/>
      <c r="B19" s="588"/>
      <c r="C19" s="589"/>
      <c r="D19" s="592" t="s">
        <v>5</v>
      </c>
      <c r="E19" s="593"/>
      <c r="F19" s="593"/>
      <c r="G19" s="593"/>
      <c r="H19" s="594"/>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x14ac:dyDescent="0.25">
      <c r="A20" s="25"/>
      <c r="B20" s="590"/>
      <c r="C20" s="591"/>
      <c r="D20" s="565"/>
      <c r="E20" s="566"/>
      <c r="F20" s="566"/>
      <c r="G20" s="566"/>
      <c r="H20" s="567"/>
      <c r="I20" s="25"/>
      <c r="J20" s="25"/>
      <c r="K20" s="25"/>
      <c r="L20" s="25"/>
      <c r="M20" s="25"/>
      <c r="N20" s="25"/>
      <c r="O20" s="25"/>
      <c r="P20" s="25"/>
      <c r="Q20" s="25"/>
      <c r="R20" s="25"/>
      <c r="S20" s="25"/>
      <c r="T20" s="25"/>
      <c r="U20" s="25"/>
      <c r="V20" s="25"/>
      <c r="W20" s="25"/>
      <c r="X20" s="25"/>
      <c r="Y20" s="25"/>
      <c r="Z20" s="25"/>
      <c r="AA20" s="25"/>
      <c r="AB20" s="25"/>
      <c r="AC20" s="25"/>
      <c r="AD20" s="25"/>
    </row>
    <row r="21" spans="1:30" ht="14.65" customHeight="1" x14ac:dyDescent="0.25">
      <c r="A21" s="25"/>
      <c r="B21" s="558"/>
      <c r="C21" s="559"/>
      <c r="D21" s="562" t="s">
        <v>6</v>
      </c>
      <c r="E21" s="563"/>
      <c r="F21" s="563"/>
      <c r="G21" s="563"/>
      <c r="H21" s="564"/>
      <c r="I21" s="25"/>
      <c r="J21" s="25"/>
      <c r="K21" s="25"/>
      <c r="L21" s="25"/>
      <c r="M21" s="25"/>
      <c r="N21" s="25"/>
      <c r="O21" s="25"/>
      <c r="P21" s="25"/>
      <c r="Q21" s="25"/>
      <c r="R21" s="25"/>
      <c r="S21" s="25"/>
      <c r="T21" s="25"/>
      <c r="U21" s="25"/>
      <c r="V21" s="25"/>
      <c r="W21" s="25"/>
      <c r="X21" s="25"/>
      <c r="Y21" s="25"/>
      <c r="Z21" s="25"/>
      <c r="AA21" s="25"/>
      <c r="AB21" s="25"/>
      <c r="AC21" s="25"/>
      <c r="AD21" s="25"/>
    </row>
    <row r="22" spans="1:30" ht="14.65" customHeight="1" x14ac:dyDescent="0.25">
      <c r="A22" s="25"/>
      <c r="B22" s="560"/>
      <c r="C22" s="561"/>
      <c r="D22" s="565"/>
      <c r="E22" s="566"/>
      <c r="F22" s="566"/>
      <c r="G22" s="566"/>
      <c r="H22" s="567"/>
      <c r="I22" s="25"/>
      <c r="J22" s="25"/>
      <c r="K22" s="25"/>
      <c r="L22" s="25"/>
      <c r="M22" s="25"/>
      <c r="N22" s="25"/>
      <c r="O22" s="25"/>
      <c r="P22" s="25"/>
      <c r="Q22" s="25"/>
      <c r="R22" s="25"/>
      <c r="S22" s="25"/>
      <c r="T22" s="25"/>
      <c r="U22" s="25"/>
      <c r="V22" s="25"/>
      <c r="W22" s="25"/>
      <c r="X22" s="25"/>
      <c r="Y22" s="25"/>
      <c r="Z22" s="25"/>
      <c r="AA22" s="25"/>
      <c r="AB22" s="25"/>
      <c r="AC22" s="25"/>
      <c r="AD22" s="25"/>
    </row>
    <row r="23" spans="1:30" ht="14.65" customHeight="1" x14ac:dyDescent="0.25">
      <c r="A23" s="25"/>
      <c r="B23" s="599"/>
      <c r="C23" s="600"/>
      <c r="D23" s="603" t="s">
        <v>7</v>
      </c>
      <c r="E23" s="604"/>
      <c r="F23" s="604"/>
      <c r="G23" s="604"/>
      <c r="H23" s="605"/>
      <c r="I23" s="25"/>
      <c r="J23" s="25"/>
      <c r="K23" s="25"/>
      <c r="L23" s="25"/>
      <c r="M23" s="25"/>
      <c r="N23" s="25"/>
      <c r="O23" s="25"/>
      <c r="P23" s="25"/>
      <c r="Q23" s="25"/>
      <c r="R23" s="25"/>
      <c r="S23" s="25"/>
      <c r="T23" s="25"/>
      <c r="U23" s="25"/>
      <c r="V23" s="25"/>
      <c r="W23" s="25"/>
      <c r="X23" s="25"/>
      <c r="Y23" s="25"/>
      <c r="Z23" s="25"/>
      <c r="AA23" s="25"/>
      <c r="AB23" s="25"/>
      <c r="AC23" s="25"/>
      <c r="AD23" s="25"/>
    </row>
    <row r="24" spans="1:30" ht="14.65" customHeight="1" x14ac:dyDescent="0.25">
      <c r="A24" s="25"/>
      <c r="B24" s="601"/>
      <c r="C24" s="602"/>
      <c r="D24" s="606"/>
      <c r="E24" s="607"/>
      <c r="F24" s="607"/>
      <c r="G24" s="607"/>
      <c r="H24" s="608"/>
      <c r="I24" s="25"/>
      <c r="J24" s="25"/>
      <c r="K24" s="25"/>
      <c r="L24" s="25"/>
      <c r="M24" s="25"/>
      <c r="N24" s="25"/>
      <c r="O24" s="25"/>
      <c r="P24" s="25"/>
      <c r="Q24" s="25"/>
      <c r="R24" s="25"/>
      <c r="S24" s="25"/>
      <c r="T24" s="25"/>
      <c r="U24" s="25"/>
      <c r="V24" s="25"/>
      <c r="W24" s="25"/>
      <c r="X24" s="25"/>
      <c r="Y24" s="25"/>
      <c r="Z24" s="25"/>
      <c r="AA24" s="25"/>
      <c r="AB24" s="25"/>
      <c r="AC24" s="25"/>
      <c r="AD24" s="25"/>
    </row>
    <row r="25" spans="1:30" ht="28.15" customHeight="1" x14ac:dyDescent="0.25">
      <c r="A25" s="25"/>
      <c r="B25" s="395"/>
      <c r="C25" s="396"/>
      <c r="D25" s="574" t="s">
        <v>8</v>
      </c>
      <c r="E25" s="575"/>
      <c r="F25" s="575"/>
      <c r="G25" s="575"/>
      <c r="H25" s="576"/>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x14ac:dyDescent="0.25">
      <c r="A26" s="25"/>
      <c r="B26" s="397"/>
      <c r="C26" s="398"/>
      <c r="D26" s="574" t="s">
        <v>9</v>
      </c>
      <c r="E26" s="575"/>
      <c r="F26" s="575"/>
      <c r="G26" s="575"/>
      <c r="H26" s="576"/>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x14ac:dyDescent="0.25">
      <c r="A27" s="25"/>
      <c r="B27" s="572" t="s">
        <v>10</v>
      </c>
      <c r="C27" s="573"/>
      <c r="D27" s="574" t="s">
        <v>11</v>
      </c>
      <c r="E27" s="575"/>
      <c r="F27" s="575"/>
      <c r="G27" s="575"/>
      <c r="H27" s="576"/>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x14ac:dyDescent="0.25">
      <c r="A28" s="25"/>
      <c r="B28" s="595" t="s">
        <v>12</v>
      </c>
      <c r="C28" s="596"/>
      <c r="D28" s="597" t="s">
        <v>13</v>
      </c>
      <c r="E28" s="597"/>
      <c r="F28" s="597"/>
      <c r="G28" s="597"/>
      <c r="H28" s="598"/>
      <c r="I28" s="25"/>
      <c r="J28" s="577" t="s">
        <v>14</v>
      </c>
      <c r="K28" s="577"/>
      <c r="L28" s="577"/>
      <c r="M28" s="577"/>
      <c r="N28" s="577"/>
      <c r="O28" s="577"/>
      <c r="P28" s="577"/>
      <c r="Q28" s="577"/>
      <c r="R28" s="577"/>
      <c r="S28" s="25"/>
      <c r="T28" s="25"/>
      <c r="U28" s="25"/>
      <c r="V28" s="25"/>
      <c r="W28" s="25"/>
      <c r="X28" s="25"/>
      <c r="Y28" s="25"/>
      <c r="Z28" s="25"/>
      <c r="AA28" s="25"/>
      <c r="AB28" s="25"/>
      <c r="AC28" s="25"/>
      <c r="AD28" s="25"/>
    </row>
    <row r="29" spans="1:30" ht="24" customHeight="1" thickBot="1" x14ac:dyDescent="0.3">
      <c r="A29" s="25"/>
      <c r="B29" s="568"/>
      <c r="C29" s="569"/>
      <c r="D29" s="570" t="s">
        <v>15</v>
      </c>
      <c r="E29" s="570"/>
      <c r="F29" s="570"/>
      <c r="G29" s="570"/>
      <c r="H29" s="571"/>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x14ac:dyDescent="0.25">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x14ac:dyDescent="0.25">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x14ac:dyDescent="0.25">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x14ac:dyDescent="0.25">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x14ac:dyDescent="0.25">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x14ac:dyDescent="0.25">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x14ac:dyDescent="0.25">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x14ac:dyDescent="0.25">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x14ac:dyDescent="0.25">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x14ac:dyDescent="0.25">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x14ac:dyDescent="0.25">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x14ac:dyDescent="0.25">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x14ac:dyDescent="0.25">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x14ac:dyDescent="0.25">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x14ac:dyDescent="0.25">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x14ac:dyDescent="0.25">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x14ac:dyDescent="0.25">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x14ac:dyDescent="0.25">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x14ac:dyDescent="0.25">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x14ac:dyDescent="0.25">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x14ac:dyDescent="0.25">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x14ac:dyDescent="0.25">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x14ac:dyDescent="0.25">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x14ac:dyDescent="0.25">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x14ac:dyDescent="0.25">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x14ac:dyDescent="0.25">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x14ac:dyDescent="0.25">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x14ac:dyDescent="0.25">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x14ac:dyDescent="0.25">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x14ac:dyDescent="0.25">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x14ac:dyDescent="0.25">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x14ac:dyDescent="0.25">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x14ac:dyDescent="0.25">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x14ac:dyDescent="0.25">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x14ac:dyDescent="0.25">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x14ac:dyDescent="0.25">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x14ac:dyDescent="0.25">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x14ac:dyDescent="0.25">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x14ac:dyDescent="0.25">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x14ac:dyDescent="0.25">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x14ac:dyDescent="0.25">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x14ac:dyDescent="0.25">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x14ac:dyDescent="0.25">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x14ac:dyDescent="0.25">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x14ac:dyDescent="0.25">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x14ac:dyDescent="0.25">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x14ac:dyDescent="0.25">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x14ac:dyDescent="0.25">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x14ac:dyDescent="0.25">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x14ac:dyDescent="0.25">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x14ac:dyDescent="0.25">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x14ac:dyDescent="0.25">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x14ac:dyDescent="0.25">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x14ac:dyDescent="0.25">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x14ac:dyDescent="0.25">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x14ac:dyDescent="0.25">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x14ac:dyDescent="0.25">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x14ac:dyDescent="0.25">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x14ac:dyDescent="0.25">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x14ac:dyDescent="0.25">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x14ac:dyDescent="0.25">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x14ac:dyDescent="0.25">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x14ac:dyDescent="0.25">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x14ac:dyDescent="0.25">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x14ac:dyDescent="0.25"/>
    <row r="98" customFormat="1" hidden="1" x14ac:dyDescent="0.25"/>
    <row r="99" customFormat="1" hidden="1" x14ac:dyDescent="0.25"/>
    <row r="100" customFormat="1" hidden="1" x14ac:dyDescent="0.25"/>
    <row r="101" customFormat="1" hidden="1" x14ac:dyDescent="0.25"/>
    <row r="102" customFormat="1" hidden="1" x14ac:dyDescent="0.25"/>
    <row r="103" customFormat="1" hidden="1" x14ac:dyDescent="0.25"/>
    <row r="104" customFormat="1" hidden="1" x14ac:dyDescent="0.25"/>
    <row r="105" customFormat="1" hidden="1" x14ac:dyDescent="0.25"/>
    <row r="106" customFormat="1" hidden="1" x14ac:dyDescent="0.25"/>
    <row r="107" customFormat="1" hidden="1" x14ac:dyDescent="0.25"/>
    <row r="108" customFormat="1" hidden="1" x14ac:dyDescent="0.25"/>
    <row r="109" customFormat="1" hidden="1" x14ac:dyDescent="0.25"/>
    <row r="110" customFormat="1" hidden="1" x14ac:dyDescent="0.25"/>
    <row r="111" customFormat="1" hidden="1" x14ac:dyDescent="0.25"/>
    <row r="112" customFormat="1" hidden="1" x14ac:dyDescent="0.25"/>
    <row r="113" customFormat="1" hidden="1" x14ac:dyDescent="0.25"/>
    <row r="114" customFormat="1" hidden="1" x14ac:dyDescent="0.25"/>
    <row r="115" customFormat="1" hidden="1" x14ac:dyDescent="0.25"/>
    <row r="116" customFormat="1" hidden="1" x14ac:dyDescent="0.25"/>
    <row r="117" customFormat="1" hidden="1" x14ac:dyDescent="0.25"/>
    <row r="118" customFormat="1" hidden="1" x14ac:dyDescent="0.25"/>
    <row r="119" customFormat="1" hidden="1" x14ac:dyDescent="0.25"/>
    <row r="120" customFormat="1" hidden="1" x14ac:dyDescent="0.25"/>
    <row r="121" customFormat="1" hidden="1" x14ac:dyDescent="0.25"/>
    <row r="122" customFormat="1" hidden="1" x14ac:dyDescent="0.25"/>
    <row r="123" customFormat="1" hidden="1" x14ac:dyDescent="0.25"/>
    <row r="124" customFormat="1" hidden="1" x14ac:dyDescent="0.25"/>
    <row r="125" customFormat="1" hidden="1" x14ac:dyDescent="0.25"/>
    <row r="126" customFormat="1" hidden="1" x14ac:dyDescent="0.25"/>
    <row r="127" customFormat="1" hidden="1" x14ac:dyDescent="0.25"/>
    <row r="128" customFormat="1" hidden="1" x14ac:dyDescent="0.25"/>
    <row r="129" customFormat="1" hidden="1" x14ac:dyDescent="0.25"/>
    <row r="130" customFormat="1" hidden="1" x14ac:dyDescent="0.25"/>
  </sheetData>
  <sheetProtection algorithmName="SHA-512" hashValue="oLu810SgcOW+js07T9cPHKQs7haq9ho7ATD0Kt5ABqV3BEWlJGYnMTFk4KqMtaq+0f/Zm/FFugQ9vnDL9iN7vQ==" saltValue="djOfSC1hdIPXg3yfvxUt9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election activeCell="D10" sqref="D10"/>
    </sheetView>
  </sheetViews>
  <sheetFormatPr defaultColWidth="0" defaultRowHeight="0" customHeight="1" zeroHeight="1" x14ac:dyDescent="0.25"/>
  <cols>
    <col min="1" max="1" width="4.5703125" customWidth="1"/>
    <col min="2" max="3" width="39.28515625" customWidth="1"/>
    <col min="4" max="4" width="70.7109375" customWidth="1"/>
    <col min="5" max="5" width="6" customWidth="1"/>
    <col min="6" max="6" width="13.7109375" customWidth="1"/>
    <col min="7" max="11" width="8.7109375" customWidth="1"/>
    <col min="12" max="16384" width="8.7109375" hidden="1"/>
  </cols>
  <sheetData>
    <row r="1" spans="1:11" ht="15.75" thickBot="1" x14ac:dyDescent="0.3">
      <c r="A1" s="25"/>
      <c r="B1" s="25"/>
      <c r="C1" s="25"/>
      <c r="D1" s="25"/>
      <c r="E1" s="25"/>
      <c r="F1" s="25"/>
      <c r="G1" s="25"/>
      <c r="H1" s="25"/>
      <c r="I1" s="25"/>
      <c r="J1" s="25"/>
      <c r="K1" s="25"/>
    </row>
    <row r="2" spans="1:11" ht="32.65" customHeight="1" thickBot="1" x14ac:dyDescent="0.3">
      <c r="A2" s="25"/>
      <c r="B2" s="622" t="s">
        <v>16</v>
      </c>
      <c r="C2" s="623"/>
      <c r="D2" s="264" t="s">
        <v>17</v>
      </c>
      <c r="E2" s="40"/>
      <c r="F2" s="25"/>
      <c r="G2" s="25"/>
      <c r="H2" s="25"/>
      <c r="I2" s="25"/>
      <c r="J2" s="25"/>
      <c r="K2" s="25"/>
    </row>
    <row r="3" spans="1:11" ht="42" customHeight="1" x14ac:dyDescent="0.25">
      <c r="A3" s="25"/>
      <c r="B3" s="617" t="s">
        <v>18</v>
      </c>
      <c r="C3" s="618"/>
      <c r="D3" s="31" t="s">
        <v>751</v>
      </c>
      <c r="E3" s="25"/>
      <c r="F3" s="25"/>
      <c r="G3" s="25"/>
      <c r="H3" s="25"/>
      <c r="I3" s="25"/>
      <c r="J3" s="25"/>
      <c r="K3" s="25"/>
    </row>
    <row r="4" spans="1:11" ht="42" customHeight="1" x14ac:dyDescent="0.25">
      <c r="A4" s="25"/>
      <c r="B4" s="615" t="s">
        <v>19</v>
      </c>
      <c r="C4" s="616"/>
      <c r="D4" s="32" t="s">
        <v>1040</v>
      </c>
      <c r="E4" s="25"/>
      <c r="F4" s="25"/>
      <c r="G4" s="25"/>
      <c r="H4" s="25"/>
      <c r="I4" s="25"/>
      <c r="J4" s="25"/>
      <c r="K4" s="25"/>
    </row>
    <row r="5" spans="1:11" ht="42" customHeight="1" x14ac:dyDescent="0.25">
      <c r="A5" s="25"/>
      <c r="B5" s="615" t="s">
        <v>20</v>
      </c>
      <c r="C5" s="616"/>
      <c r="D5" s="32" t="s">
        <v>1046</v>
      </c>
      <c r="E5" s="25"/>
      <c r="F5" s="25"/>
      <c r="G5" s="25"/>
      <c r="H5" s="25"/>
      <c r="I5" s="25"/>
      <c r="J5" s="25"/>
      <c r="K5" s="25"/>
    </row>
    <row r="6" spans="1:11" ht="42" customHeight="1" x14ac:dyDescent="0.25">
      <c r="A6" s="25"/>
      <c r="B6" s="615" t="s">
        <v>21</v>
      </c>
      <c r="C6" s="616"/>
      <c r="D6" s="32" t="s">
        <v>473</v>
      </c>
      <c r="E6" s="25"/>
      <c r="F6" s="25"/>
      <c r="G6" s="25"/>
      <c r="H6" s="25"/>
      <c r="I6" s="25"/>
      <c r="J6" s="25"/>
      <c r="K6" s="25"/>
    </row>
    <row r="7" spans="1:11" ht="42" customHeight="1" x14ac:dyDescent="0.25">
      <c r="A7" s="25"/>
      <c r="B7" s="615" t="s">
        <v>22</v>
      </c>
      <c r="C7" s="616"/>
      <c r="D7" s="32"/>
      <c r="E7" s="25"/>
      <c r="F7" s="25"/>
      <c r="G7" s="25"/>
      <c r="H7" s="25"/>
      <c r="I7" s="25"/>
      <c r="J7" s="25"/>
      <c r="K7" s="25"/>
    </row>
    <row r="8" spans="1:11" ht="42" customHeight="1" x14ac:dyDescent="0.25">
      <c r="A8" s="25"/>
      <c r="B8" s="615" t="s">
        <v>23</v>
      </c>
      <c r="C8" s="616"/>
      <c r="D8" s="32" t="s">
        <v>1048</v>
      </c>
      <c r="E8" s="25"/>
      <c r="F8" s="25"/>
      <c r="G8" s="25"/>
      <c r="H8" s="25"/>
      <c r="I8" s="25"/>
      <c r="J8" s="25"/>
      <c r="K8" s="25"/>
    </row>
    <row r="9" spans="1:11" ht="42" customHeight="1" x14ac:dyDescent="0.25">
      <c r="A9" s="25"/>
      <c r="B9" s="615" t="s">
        <v>24</v>
      </c>
      <c r="C9" s="616"/>
      <c r="D9" s="291">
        <v>45637</v>
      </c>
      <c r="E9" s="25"/>
      <c r="F9" s="25"/>
      <c r="G9" s="25"/>
      <c r="H9" s="25"/>
      <c r="I9" s="25"/>
      <c r="J9" s="25"/>
      <c r="K9" s="25"/>
    </row>
    <row r="10" spans="1:11" ht="42" customHeight="1" x14ac:dyDescent="0.25">
      <c r="A10" s="25"/>
      <c r="B10" s="615" t="s">
        <v>25</v>
      </c>
      <c r="C10" s="616"/>
      <c r="D10" s="32" t="s">
        <v>1047</v>
      </c>
      <c r="E10" s="25"/>
      <c r="F10" s="25"/>
      <c r="G10" s="25"/>
      <c r="H10" s="25"/>
      <c r="I10" s="25"/>
      <c r="J10" s="25"/>
      <c r="K10" s="25"/>
    </row>
    <row r="11" spans="1:11" ht="42" customHeight="1" thickBot="1" x14ac:dyDescent="0.3">
      <c r="A11" s="25"/>
      <c r="B11" s="619" t="s">
        <v>26</v>
      </c>
      <c r="C11" s="620"/>
      <c r="D11" s="205"/>
      <c r="E11" s="25"/>
      <c r="F11" s="25"/>
      <c r="G11" s="25"/>
      <c r="H11" s="25"/>
      <c r="I11" s="25"/>
      <c r="J11" s="25"/>
      <c r="K11" s="25"/>
    </row>
    <row r="12" spans="1:11" ht="42" customHeight="1" thickBot="1" x14ac:dyDescent="0.55000000000000004">
      <c r="A12" s="25"/>
      <c r="B12" s="56" t="s">
        <v>27</v>
      </c>
      <c r="C12" s="149"/>
      <c r="D12" s="150"/>
      <c r="E12" s="25"/>
      <c r="F12" s="25"/>
      <c r="G12" s="25"/>
      <c r="H12" s="25"/>
      <c r="I12" s="25"/>
      <c r="J12" s="25"/>
      <c r="K12" s="25"/>
    </row>
    <row r="13" spans="1:11" ht="42" customHeight="1" x14ac:dyDescent="0.25">
      <c r="A13" s="25"/>
      <c r="B13" s="610" t="s">
        <v>28</v>
      </c>
      <c r="C13" s="151" t="s">
        <v>29</v>
      </c>
      <c r="D13" s="33">
        <v>10</v>
      </c>
      <c r="E13" s="613" t="str">
        <f>IF(D13&lt;10,"Caution - % target reduced below default ▲",IF(D13&gt;10,"Caution -Target increased above default ⚠",""))</f>
        <v/>
      </c>
      <c r="F13" s="614"/>
      <c r="G13" s="614"/>
      <c r="H13" s="614"/>
      <c r="I13" s="614"/>
      <c r="J13" s="443"/>
      <c r="K13" s="25"/>
    </row>
    <row r="14" spans="1:11" ht="42" customHeight="1" x14ac:dyDescent="0.25">
      <c r="A14" s="25"/>
      <c r="B14" s="611"/>
      <c r="C14" s="152" t="s">
        <v>30</v>
      </c>
      <c r="D14" s="34">
        <v>10</v>
      </c>
      <c r="E14" s="613" t="str">
        <f t="shared" ref="E14:E15" si="0">IF(D14&lt;10,"Caution - % target reduced below default ▲",IF(D14&gt;10,"Caution -Target increased above default ⚠",""))</f>
        <v/>
      </c>
      <c r="F14" s="614"/>
      <c r="G14" s="614"/>
      <c r="H14" s="614"/>
      <c r="I14" s="614"/>
      <c r="J14" s="25"/>
      <c r="K14" s="25"/>
    </row>
    <row r="15" spans="1:11" ht="42" customHeight="1" thickBot="1" x14ac:dyDescent="0.3">
      <c r="A15" s="25"/>
      <c r="B15" s="612"/>
      <c r="C15" s="153" t="s">
        <v>31</v>
      </c>
      <c r="D15" s="35">
        <v>10</v>
      </c>
      <c r="E15" s="613" t="str">
        <f t="shared" si="0"/>
        <v/>
      </c>
      <c r="F15" s="614"/>
      <c r="G15" s="614"/>
      <c r="H15" s="614"/>
      <c r="I15" s="614"/>
      <c r="J15" s="25"/>
      <c r="K15" s="25"/>
    </row>
    <row r="16" spans="1:11" ht="36.6" customHeight="1" thickBot="1" x14ac:dyDescent="0.3">
      <c r="A16" s="25"/>
      <c r="B16" s="157"/>
      <c r="C16" s="157"/>
      <c r="D16" s="509"/>
      <c r="E16" s="25"/>
      <c r="F16" s="25"/>
      <c r="G16" s="25"/>
      <c r="H16" s="25"/>
      <c r="I16" s="25"/>
      <c r="J16" s="25"/>
      <c r="K16" s="25"/>
    </row>
    <row r="17" spans="1:11" ht="40.9" customHeight="1" x14ac:dyDescent="0.25">
      <c r="A17" s="25"/>
      <c r="B17" s="610" t="s">
        <v>32</v>
      </c>
      <c r="C17" s="151" t="s">
        <v>33</v>
      </c>
      <c r="D17" s="33">
        <v>0</v>
      </c>
      <c r="E17" s="609" t="str">
        <f>IF(D17=0,"","Unit increase Targets must be agreed with LPA ⚠")</f>
        <v/>
      </c>
      <c r="F17" s="609"/>
      <c r="G17" s="609"/>
      <c r="H17" s="609"/>
      <c r="I17" s="609"/>
      <c r="J17" s="25"/>
      <c r="K17" s="25"/>
    </row>
    <row r="18" spans="1:11" ht="40.9" customHeight="1" x14ac:dyDescent="0.25">
      <c r="A18" s="25"/>
      <c r="B18" s="611"/>
      <c r="C18" s="152" t="s">
        <v>34</v>
      </c>
      <c r="D18" s="34">
        <v>0</v>
      </c>
      <c r="E18" s="609" t="str">
        <f t="shared" ref="E18:E19" si="1">IF(D18=0,"","Unit increase Targets must be agreed with LPA ⚠")</f>
        <v/>
      </c>
      <c r="F18" s="609"/>
      <c r="G18" s="609"/>
      <c r="H18" s="609"/>
      <c r="I18" s="609"/>
      <c r="J18" s="25"/>
      <c r="K18" s="25"/>
    </row>
    <row r="19" spans="1:11" ht="40.9" customHeight="1" thickBot="1" x14ac:dyDescent="0.3">
      <c r="A19" s="25"/>
      <c r="B19" s="612"/>
      <c r="C19" s="153" t="s">
        <v>35</v>
      </c>
      <c r="D19" s="35">
        <v>0</v>
      </c>
      <c r="E19" s="609" t="str">
        <f t="shared" si="1"/>
        <v/>
      </c>
      <c r="F19" s="609"/>
      <c r="G19" s="609"/>
      <c r="H19" s="609"/>
      <c r="I19" s="609"/>
      <c r="J19" s="25"/>
      <c r="K19" s="25"/>
    </row>
    <row r="20" spans="1:11" ht="23.65" customHeight="1" x14ac:dyDescent="0.25">
      <c r="A20" s="25"/>
      <c r="B20" s="25"/>
      <c r="C20" s="25"/>
      <c r="D20" s="25"/>
      <c r="E20" s="157"/>
      <c r="F20" s="157"/>
      <c r="G20" s="157"/>
      <c r="H20" s="157"/>
      <c r="I20" s="157"/>
      <c r="J20" s="25"/>
      <c r="K20" s="25"/>
    </row>
    <row r="21" spans="1:11" ht="34.15" customHeight="1" thickBot="1" x14ac:dyDescent="0.3">
      <c r="A21" s="25"/>
      <c r="B21" s="621" t="s">
        <v>36</v>
      </c>
      <c r="C21" s="621"/>
      <c r="D21" s="621"/>
      <c r="E21" s="157"/>
      <c r="F21" s="157"/>
      <c r="G21" s="157"/>
      <c r="H21" s="157"/>
      <c r="I21" s="157"/>
      <c r="J21" s="25"/>
      <c r="K21" s="25"/>
    </row>
    <row r="22" spans="1:11" ht="40.9" customHeight="1" x14ac:dyDescent="0.25">
      <c r="A22" s="25"/>
      <c r="B22" s="617" t="s">
        <v>37</v>
      </c>
      <c r="C22" s="618"/>
      <c r="D22" s="31"/>
      <c r="E22" s="157"/>
      <c r="F22" s="157"/>
      <c r="G22" s="157"/>
      <c r="H22" s="157"/>
      <c r="I22" s="157"/>
      <c r="J22" s="25"/>
      <c r="K22" s="25"/>
    </row>
    <row r="23" spans="1:11" ht="40.9" customHeight="1" thickBot="1" x14ac:dyDescent="0.3">
      <c r="A23" s="25"/>
      <c r="B23" s="619" t="s">
        <v>38</v>
      </c>
      <c r="C23" s="620"/>
      <c r="D23" s="292"/>
      <c r="E23" s="157"/>
      <c r="F23" s="157"/>
      <c r="G23" s="157"/>
      <c r="H23" s="157"/>
      <c r="I23" s="157"/>
      <c r="J23" s="25"/>
      <c r="K23" s="25"/>
    </row>
    <row r="24" spans="1:11" ht="40.9" customHeight="1" x14ac:dyDescent="0.25">
      <c r="A24" s="25"/>
      <c r="B24" s="25"/>
      <c r="C24" s="25"/>
      <c r="D24" s="25"/>
      <c r="E24" s="25"/>
      <c r="F24" s="199"/>
      <c r="G24" s="199"/>
      <c r="H24" s="199"/>
      <c r="I24" s="199"/>
      <c r="J24" s="25"/>
      <c r="K24" s="25"/>
    </row>
    <row r="25" spans="1:11" ht="40.9" hidden="1" customHeight="1" x14ac:dyDescent="0.25">
      <c r="A25" s="25"/>
      <c r="B25" s="25"/>
      <c r="C25" s="25"/>
      <c r="D25" s="25"/>
      <c r="E25" s="25"/>
      <c r="F25" s="199"/>
      <c r="G25" s="199"/>
      <c r="H25" s="199"/>
      <c r="I25" s="199"/>
      <c r="J25" s="25"/>
      <c r="K25" s="25"/>
    </row>
    <row r="26" spans="1:11" ht="40.9" hidden="1" customHeight="1" x14ac:dyDescent="0.25">
      <c r="A26" s="25"/>
      <c r="B26" s="25"/>
      <c r="C26" s="25"/>
      <c r="D26" s="25"/>
      <c r="E26" s="25"/>
      <c r="F26" s="199"/>
      <c r="G26" s="199"/>
      <c r="H26" s="199"/>
      <c r="I26" s="199"/>
      <c r="J26" s="25"/>
      <c r="K26" s="25"/>
    </row>
    <row r="27" spans="1:11" ht="40.9" hidden="1" customHeight="1" x14ac:dyDescent="0.25">
      <c r="A27" s="25"/>
      <c r="B27" s="25"/>
      <c r="C27" s="25"/>
      <c r="D27" s="25"/>
      <c r="E27" s="25"/>
      <c r="F27" s="199"/>
      <c r="G27" s="199"/>
      <c r="H27" s="199"/>
      <c r="I27" s="199"/>
      <c r="J27" s="25"/>
      <c r="K27" s="25"/>
    </row>
    <row r="28" spans="1:11" ht="36.6" hidden="1" customHeight="1" x14ac:dyDescent="0.25">
      <c r="A28" s="25"/>
      <c r="B28" s="25"/>
      <c r="C28" s="25"/>
      <c r="D28" s="25"/>
      <c r="E28" s="25"/>
      <c r="F28" s="25"/>
      <c r="G28" s="25"/>
      <c r="H28" s="25"/>
      <c r="I28" s="25"/>
      <c r="J28" s="25"/>
      <c r="K28" s="25"/>
    </row>
    <row r="29" spans="1:11" ht="14.65" hidden="1" customHeight="1" x14ac:dyDescent="0.25">
      <c r="A29" s="25"/>
      <c r="B29" s="25"/>
      <c r="C29" s="25"/>
      <c r="D29" s="25"/>
      <c r="E29" s="25"/>
      <c r="F29" s="25"/>
      <c r="G29" s="25"/>
      <c r="H29" s="25"/>
      <c r="I29" s="25"/>
      <c r="J29" s="25"/>
      <c r="K29" s="25"/>
    </row>
    <row r="30" spans="1:11" ht="14.65" hidden="1" customHeight="1" x14ac:dyDescent="0.25">
      <c r="A30" s="25"/>
      <c r="B30" s="25"/>
      <c r="C30" s="25"/>
      <c r="D30" s="25"/>
      <c r="E30" s="25"/>
      <c r="F30" s="25"/>
      <c r="G30" s="25"/>
      <c r="H30" s="25"/>
      <c r="I30" s="25"/>
      <c r="J30" s="25"/>
      <c r="K30" s="25"/>
    </row>
    <row r="31" spans="1:11" ht="14.65" hidden="1" customHeight="1" x14ac:dyDescent="0.25">
      <c r="A31" s="25"/>
      <c r="B31" s="25"/>
      <c r="C31" s="25"/>
      <c r="D31" s="25"/>
      <c r="E31" s="25"/>
      <c r="F31" s="25"/>
      <c r="G31" s="25"/>
      <c r="H31" s="25"/>
      <c r="I31" s="25"/>
      <c r="J31" s="25"/>
      <c r="K31" s="25"/>
    </row>
    <row r="32" spans="1:11" ht="14.65" hidden="1" customHeight="1" x14ac:dyDescent="0.25">
      <c r="A32" s="25"/>
      <c r="B32" s="25"/>
      <c r="C32" s="25"/>
      <c r="D32" s="25"/>
      <c r="E32" s="25"/>
      <c r="F32" s="25"/>
      <c r="G32" s="25"/>
      <c r="H32" s="25"/>
      <c r="I32" s="25"/>
      <c r="J32" s="25"/>
      <c r="K32" s="25"/>
    </row>
    <row r="33" spans="1:11" ht="15" hidden="1" customHeight="1" x14ac:dyDescent="0.25">
      <c r="A33" s="25"/>
      <c r="B33" s="25"/>
      <c r="C33" s="25"/>
      <c r="D33" s="25"/>
      <c r="E33" s="25"/>
      <c r="F33" s="25"/>
      <c r="G33" s="25"/>
      <c r="H33" s="25"/>
      <c r="I33" s="25"/>
      <c r="J33" s="25"/>
      <c r="K33" s="25"/>
    </row>
    <row r="34" spans="1:11" ht="15" hidden="1" x14ac:dyDescent="0.25">
      <c r="A34" s="25"/>
      <c r="B34" s="25"/>
      <c r="C34" s="25"/>
      <c r="D34" s="25"/>
      <c r="E34" s="25"/>
      <c r="F34" s="25"/>
      <c r="G34" s="25"/>
      <c r="H34" s="25"/>
      <c r="I34" s="25"/>
      <c r="J34" s="25"/>
      <c r="K34" s="25"/>
    </row>
    <row r="35" spans="1:11" ht="15" hidden="1" x14ac:dyDescent="0.25">
      <c r="A35" s="25"/>
      <c r="B35" s="25"/>
      <c r="C35" s="25"/>
      <c r="D35" s="25"/>
      <c r="E35" s="25"/>
      <c r="F35" s="25"/>
      <c r="G35" s="25"/>
      <c r="H35" s="25"/>
      <c r="I35" s="25"/>
      <c r="J35" s="25"/>
      <c r="K35" s="25"/>
    </row>
    <row r="36" spans="1:11" ht="15" hidden="1" x14ac:dyDescent="0.25">
      <c r="A36" s="25"/>
      <c r="B36" s="25"/>
      <c r="C36" s="25"/>
      <c r="D36" s="25"/>
      <c r="E36" s="25"/>
      <c r="F36" s="25"/>
      <c r="G36" s="25"/>
      <c r="H36" s="25"/>
      <c r="I36" s="25"/>
      <c r="J36" s="25"/>
      <c r="K36" s="25"/>
    </row>
    <row r="37" spans="1:11" ht="15" hidden="1" x14ac:dyDescent="0.25">
      <c r="A37" s="25"/>
      <c r="B37" s="25"/>
      <c r="C37" s="25"/>
      <c r="D37" s="25"/>
      <c r="E37" s="25"/>
      <c r="F37" s="25"/>
      <c r="G37" s="25"/>
      <c r="H37" s="25"/>
      <c r="I37" s="25"/>
      <c r="J37" s="25"/>
      <c r="K37" s="25"/>
    </row>
    <row r="38" spans="1:11" ht="15" hidden="1" x14ac:dyDescent="0.25"/>
    <row r="39" spans="1:11" ht="15" hidden="1" x14ac:dyDescent="0.25"/>
  </sheetData>
  <sheetProtection algorithmName="SHA-512" hashValue="R5rLHx9ZorY/Nrf5jnXd5Oum/mRxZZ/5TArImXZDxEd524Uh/pfOSnqEqWgFTq4mSwVyXnM+56SGMrWpCGnADQ==" saltValue="UytS3xmmERYa1et+zX2kdA==" spinCount="100000" sheet="1" objects="1" scenarios="1"/>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209" priority="9" operator="greaterThan">
      <formula>10</formula>
    </cfRule>
    <cfRule type="cellIs" dxfId="208" priority="11" operator="lessThan">
      <formula>10</formula>
    </cfRule>
  </conditionalFormatting>
  <conditionalFormatting sqref="D17:D19">
    <cfRule type="cellIs" dxfId="207" priority="3" operator="lessThan">
      <formula>0</formula>
    </cfRule>
  </conditionalFormatting>
  <conditionalFormatting sqref="E13:I15">
    <cfRule type="expression" dxfId="206" priority="184">
      <formula>$D13&gt;10</formula>
    </cfRule>
    <cfRule type="expression" dxfId="205" priority="185">
      <formula>$D13&lt;10</formula>
    </cfRule>
  </conditionalFormatting>
  <conditionalFormatting sqref="E17:I19 F24:I27">
    <cfRule type="containsText" dxfId="204" priority="2" operator="containsText" text="LPA">
      <formula>NOT(ISERROR(SEARCH("LPA",E17)))</formula>
    </cfRule>
    <cfRule type="containsText" dxfId="203"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Lists'!$X$36:$X$50</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zoomScale="80" zoomScaleNormal="80" workbookViewId="0">
      <selection activeCell="C11" sqref="C11"/>
    </sheetView>
  </sheetViews>
  <sheetFormatPr defaultColWidth="0" defaultRowHeight="15" zeroHeight="1" x14ac:dyDescent="0.25"/>
  <cols>
    <col min="1" max="1" width="4.5703125" customWidth="1"/>
    <col min="2" max="2" width="63.28515625" customWidth="1"/>
    <col min="3" max="3" width="48.7109375" bestFit="1" customWidth="1"/>
    <col min="4" max="4" width="46.7109375" customWidth="1"/>
    <col min="5" max="8" width="8.7109375" customWidth="1"/>
    <col min="9" max="13" width="8.7109375" hidden="1" customWidth="1"/>
    <col min="14" max="18" width="0" hidden="1" customWidth="1"/>
    <col min="19" max="16384" width="8.7109375" hidden="1"/>
  </cols>
  <sheetData>
    <row r="1" spans="1:14" ht="15.75" thickBot="1" x14ac:dyDescent="0.3">
      <c r="A1" s="25"/>
      <c r="B1" s="25"/>
      <c r="C1" s="25"/>
      <c r="D1" s="25"/>
      <c r="E1" s="25"/>
      <c r="F1" s="25"/>
      <c r="G1" s="25"/>
      <c r="H1" s="25"/>
      <c r="I1" s="25"/>
      <c r="J1" s="25"/>
      <c r="K1" s="25"/>
      <c r="L1" s="25"/>
      <c r="M1" s="25"/>
      <c r="N1" s="25"/>
    </row>
    <row r="2" spans="1:14" ht="24" customHeight="1" x14ac:dyDescent="0.25">
      <c r="A2" s="53"/>
      <c r="B2" s="204" t="s">
        <v>39</v>
      </c>
      <c r="C2" s="630" t="str">
        <f>IF('2. Site Details'!D4="","Enter site name on 2. Site Details",'2. Site Details'!D4)</f>
        <v>Land to the Rear of 292 Henley Road, Reading</v>
      </c>
      <c r="D2" s="631"/>
      <c r="E2" s="25"/>
      <c r="F2" s="25"/>
      <c r="G2" s="25"/>
      <c r="H2" s="25"/>
      <c r="I2" s="25"/>
      <c r="J2" s="25"/>
      <c r="K2" s="25"/>
      <c r="L2" s="25"/>
      <c r="M2" s="25"/>
      <c r="N2" s="25"/>
    </row>
    <row r="3" spans="1:14" ht="24" customHeight="1" thickBot="1" x14ac:dyDescent="0.3">
      <c r="A3" s="53"/>
      <c r="B3" s="203" t="s">
        <v>16</v>
      </c>
      <c r="C3" s="628" t="s">
        <v>40</v>
      </c>
      <c r="D3" s="629"/>
      <c r="E3" s="25"/>
      <c r="F3" s="25"/>
      <c r="G3" s="25"/>
      <c r="H3" s="25"/>
      <c r="I3" s="25"/>
      <c r="J3" s="25"/>
      <c r="K3" s="25"/>
      <c r="L3" s="25"/>
      <c r="M3" s="25"/>
      <c r="N3" s="25"/>
    </row>
    <row r="4" spans="1:14" ht="14.65" customHeight="1" x14ac:dyDescent="0.25">
      <c r="A4" s="53"/>
      <c r="B4" s="53"/>
      <c r="C4" s="53"/>
      <c r="D4" s="53"/>
      <c r="E4" s="25"/>
      <c r="F4" s="25"/>
      <c r="G4" s="25"/>
      <c r="H4" s="25"/>
      <c r="I4" s="25"/>
      <c r="J4" s="25"/>
      <c r="K4" s="25"/>
      <c r="L4" s="25"/>
      <c r="M4" s="25"/>
      <c r="N4" s="25"/>
    </row>
    <row r="5" spans="1:14" ht="36" customHeight="1" thickBot="1" x14ac:dyDescent="0.3">
      <c r="A5" s="40"/>
      <c r="B5" s="56" t="s">
        <v>41</v>
      </c>
      <c r="C5" s="41"/>
      <c r="D5" s="41"/>
      <c r="E5" s="25"/>
      <c r="F5" s="25"/>
      <c r="G5" s="25"/>
      <c r="H5" s="25"/>
      <c r="I5" s="25"/>
      <c r="J5" s="25"/>
      <c r="K5" s="25"/>
      <c r="L5" s="25"/>
      <c r="M5" s="25"/>
      <c r="N5" s="25"/>
    </row>
    <row r="6" spans="1:14" ht="42" customHeight="1" x14ac:dyDescent="0.25">
      <c r="A6" s="25"/>
      <c r="B6" s="37" t="s">
        <v>42</v>
      </c>
      <c r="C6" s="154" t="s">
        <v>1038</v>
      </c>
      <c r="D6" s="206" t="str">
        <f>IF(AND(C6="Residential",C9="Unknown number"),"Site area must be less than 5,000 m2",IF(C6="","","Site area must be less than 10,000 m2"))</f>
        <v>Site area must be less than 10,000 m2</v>
      </c>
      <c r="E6" s="624" t="str">
        <f>IF(AND(C9="Unknown number", C6="Residential"),"Site area limited by unknown number of dwellings ⚠", "")</f>
        <v/>
      </c>
      <c r="F6" s="625"/>
      <c r="G6" s="625"/>
      <c r="H6" s="625"/>
      <c r="I6" s="25"/>
      <c r="J6" s="25"/>
      <c r="K6" s="25"/>
      <c r="L6" s="25"/>
      <c r="M6" s="25"/>
      <c r="N6" s="25"/>
    </row>
    <row r="7" spans="1:14" ht="42" customHeight="1" x14ac:dyDescent="0.25">
      <c r="A7" s="25"/>
      <c r="B7" s="42" t="s">
        <v>43</v>
      </c>
      <c r="C7" s="155">
        <v>334.9</v>
      </c>
      <c r="D7" s="207"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x14ac:dyDescent="0.25">
      <c r="A8" s="25"/>
      <c r="B8" s="404" t="str">
        <f>IF(OR(C6="Residential",C6="Other"),"N/A",IF(C6="","","16. Building footprint (m2) of commercial buildings proposed within the development site (or zero if none)"))</f>
        <v>N/A</v>
      </c>
      <c r="C8" s="155"/>
      <c r="D8" s="208"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x14ac:dyDescent="0.3">
      <c r="A9" s="25"/>
      <c r="B9" s="405" t="str">
        <f>IF(OR(C6="Commercial",C6="Other"),"N/A",IF(C6="","","17. Number of dwellings proposed within the development site"))</f>
        <v>17. Number of dwellings proposed within the development site</v>
      </c>
      <c r="C9" s="156" t="s">
        <v>1039</v>
      </c>
      <c r="D9" s="209"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x14ac:dyDescent="0.3">
      <c r="A10" s="25"/>
      <c r="B10" s="56" t="s">
        <v>44</v>
      </c>
      <c r="C10" s="43"/>
      <c r="D10" s="44"/>
      <c r="E10" s="25"/>
      <c r="F10" s="25"/>
      <c r="G10" s="25"/>
      <c r="H10" s="25"/>
      <c r="I10" s="25"/>
      <c r="J10" s="25"/>
      <c r="K10" s="25"/>
      <c r="L10" s="25"/>
      <c r="M10" s="25"/>
      <c r="N10" s="25"/>
    </row>
    <row r="11" spans="1:14" ht="42" customHeight="1" x14ac:dyDescent="0.25">
      <c r="A11" s="25"/>
      <c r="B11" s="37" t="s">
        <v>45</v>
      </c>
      <c r="C11" s="154"/>
      <c r="D11" s="378"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x14ac:dyDescent="0.25">
      <c r="A12" s="25"/>
      <c r="B12" s="42" t="s">
        <v>46</v>
      </c>
      <c r="C12" s="155"/>
      <c r="D12" s="415"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x14ac:dyDescent="0.25">
      <c r="A13" s="25"/>
      <c r="B13" s="42" t="s">
        <v>47</v>
      </c>
      <c r="C13" s="632"/>
      <c r="D13" s="633"/>
      <c r="E13" s="25"/>
      <c r="F13" s="25"/>
      <c r="G13" s="25"/>
      <c r="H13" s="25"/>
      <c r="I13" s="25"/>
      <c r="J13" s="25"/>
      <c r="K13" s="25"/>
      <c r="L13" s="25"/>
      <c r="M13" s="25"/>
      <c r="N13" s="25"/>
    </row>
    <row r="14" spans="1:14" ht="79.150000000000006" customHeight="1" thickBot="1" x14ac:dyDescent="0.3">
      <c r="A14" s="25"/>
      <c r="B14" s="36" t="s">
        <v>48</v>
      </c>
      <c r="C14" s="634"/>
      <c r="D14" s="635"/>
      <c r="E14" s="25"/>
      <c r="F14" s="25"/>
      <c r="G14" s="25"/>
      <c r="H14" s="25"/>
      <c r="I14" s="25"/>
      <c r="J14" s="25"/>
      <c r="K14" s="25"/>
      <c r="L14" s="25"/>
      <c r="M14" s="25"/>
      <c r="N14" s="25"/>
    </row>
    <row r="15" spans="1:14" ht="36" customHeight="1" thickBot="1" x14ac:dyDescent="0.3">
      <c r="A15" s="25"/>
      <c r="B15" s="56" t="s">
        <v>49</v>
      </c>
      <c r="C15" s="25"/>
      <c r="D15" s="25"/>
      <c r="E15" s="25"/>
      <c r="F15" s="25"/>
      <c r="G15" s="25"/>
      <c r="H15" s="25"/>
      <c r="I15" s="25"/>
      <c r="J15" s="25"/>
      <c r="K15" s="25"/>
      <c r="L15" s="25"/>
      <c r="M15" s="25"/>
      <c r="N15" s="25"/>
    </row>
    <row r="16" spans="1:14" ht="42" customHeight="1" x14ac:dyDescent="0.25">
      <c r="A16" s="25"/>
      <c r="B16" s="37" t="s">
        <v>50</v>
      </c>
      <c r="C16" s="154" t="s">
        <v>1036</v>
      </c>
      <c r="D16" s="45" t="str">
        <f>IF(C16="Walkover completed by competent person","A competent person should be able to confidently identify the habitats onsite",IF(C16="No Walkover Undertaken","ERROR- Site walkover required",""))</f>
        <v>A competent person should be able to confidently identify the habitats onsite</v>
      </c>
      <c r="E16" s="25"/>
      <c r="F16" s="25"/>
      <c r="G16" s="25"/>
      <c r="H16" s="25"/>
      <c r="I16" s="25"/>
      <c r="J16" s="25"/>
      <c r="K16" s="25"/>
      <c r="L16" s="25"/>
      <c r="M16" s="25"/>
      <c r="N16" s="25"/>
    </row>
    <row r="17" spans="1:14" ht="42" customHeight="1" x14ac:dyDescent="0.25">
      <c r="A17" s="25"/>
      <c r="B17" s="42" t="s">
        <v>51</v>
      </c>
      <c r="C17" s="165">
        <v>45489</v>
      </c>
      <c r="D17" s="166" t="str">
        <f>IF(C17="","Walkover date required ▲","Site walkover data valid until "&amp;TEXT(EDATE(C17,6),"dd/mm/yy"))</f>
        <v>Site walkover data valid until 16/01/25</v>
      </c>
      <c r="E17" s="25"/>
      <c r="F17" s="25"/>
      <c r="G17" s="25"/>
      <c r="H17" s="25"/>
      <c r="I17" s="25"/>
      <c r="J17" s="25"/>
      <c r="K17" s="25"/>
      <c r="L17" s="25"/>
      <c r="M17" s="25"/>
      <c r="N17" s="25"/>
    </row>
    <row r="18" spans="1:14" ht="42" customHeight="1" thickBot="1" x14ac:dyDescent="0.3">
      <c r="A18" s="25"/>
      <c r="B18" s="36" t="s">
        <v>52</v>
      </c>
      <c r="C18" s="634" t="s">
        <v>1037</v>
      </c>
      <c r="D18" s="635"/>
      <c r="E18" s="25"/>
      <c r="F18" s="25"/>
      <c r="G18" s="25"/>
      <c r="H18" s="25"/>
      <c r="I18" s="25"/>
      <c r="J18" s="25"/>
      <c r="K18" s="25"/>
      <c r="L18" s="25"/>
      <c r="M18" s="25"/>
      <c r="N18" s="25"/>
    </row>
    <row r="19" spans="1:14" ht="36" customHeight="1" thickBot="1" x14ac:dyDescent="0.3">
      <c r="A19" s="25"/>
      <c r="B19" s="56" t="s">
        <v>53</v>
      </c>
      <c r="C19" s="25"/>
      <c r="D19" s="25"/>
      <c r="E19" s="25"/>
      <c r="F19" s="25"/>
      <c r="G19" s="25"/>
      <c r="H19" s="25"/>
      <c r="I19" s="25"/>
      <c r="J19" s="25"/>
      <c r="K19" s="25"/>
      <c r="L19" s="25"/>
      <c r="M19" s="25"/>
      <c r="N19" s="25"/>
    </row>
    <row r="20" spans="1:14" ht="79.150000000000006" customHeight="1" thickBot="1" x14ac:dyDescent="0.3">
      <c r="A20" s="25"/>
      <c r="B20" s="164" t="s">
        <v>54</v>
      </c>
      <c r="C20" s="626"/>
      <c r="D20" s="627"/>
      <c r="E20" s="25"/>
      <c r="F20" s="25"/>
      <c r="G20" s="25"/>
      <c r="H20" s="25"/>
      <c r="I20" s="25"/>
      <c r="J20" s="25"/>
      <c r="K20" s="25"/>
      <c r="L20" s="25"/>
      <c r="M20" s="25"/>
      <c r="N20" s="25"/>
    </row>
    <row r="21" spans="1:14" ht="14.65" customHeight="1" x14ac:dyDescent="0.25">
      <c r="A21" s="25"/>
      <c r="B21" s="25"/>
      <c r="C21" s="25"/>
      <c r="D21" s="25"/>
      <c r="E21" s="25"/>
      <c r="F21" s="25"/>
      <c r="G21" s="25"/>
      <c r="H21" s="25"/>
      <c r="I21" s="25"/>
      <c r="J21" s="25"/>
      <c r="K21" s="25"/>
      <c r="L21" s="25"/>
      <c r="M21" s="25"/>
      <c r="N21" s="25"/>
    </row>
    <row r="22" spans="1:14" ht="14.65" customHeight="1" x14ac:dyDescent="0.25">
      <c r="A22" s="25"/>
      <c r="B22" s="25"/>
      <c r="C22" s="25"/>
      <c r="D22" s="25"/>
      <c r="E22" s="25"/>
      <c r="F22" s="25"/>
      <c r="G22" s="25"/>
      <c r="H22" s="25"/>
      <c r="I22" s="25"/>
      <c r="J22" s="25"/>
      <c r="K22" s="25"/>
      <c r="L22" s="25"/>
      <c r="M22" s="25"/>
      <c r="N22" s="25"/>
    </row>
    <row r="23" spans="1:14" ht="14.65" customHeight="1" x14ac:dyDescent="0.25">
      <c r="A23" s="25"/>
      <c r="B23" s="25"/>
      <c r="C23" s="25"/>
      <c r="D23" s="25"/>
      <c r="E23" s="25"/>
      <c r="F23" s="25"/>
      <c r="G23" s="25"/>
      <c r="H23" s="25"/>
      <c r="I23" s="25"/>
      <c r="J23" s="25"/>
      <c r="K23" s="25"/>
      <c r="L23" s="25"/>
      <c r="M23" s="25"/>
      <c r="N23" s="25"/>
    </row>
    <row r="24" spans="1:14" ht="14.65" customHeight="1" x14ac:dyDescent="0.25">
      <c r="A24" s="25"/>
      <c r="B24" s="25"/>
      <c r="C24" s="25"/>
      <c r="D24" s="25"/>
      <c r="E24" s="25"/>
      <c r="F24" s="25"/>
      <c r="G24" s="25"/>
      <c r="H24" s="25"/>
      <c r="I24" s="25"/>
      <c r="J24" s="25"/>
      <c r="K24" s="25"/>
      <c r="L24" s="25"/>
      <c r="M24" s="25"/>
      <c r="N24" s="25"/>
    </row>
    <row r="25" spans="1:14" ht="14.65" customHeight="1" x14ac:dyDescent="0.25">
      <c r="A25" s="25"/>
      <c r="B25" s="25"/>
      <c r="C25" s="25"/>
      <c r="D25" s="25"/>
      <c r="E25" s="25"/>
      <c r="F25" s="25"/>
      <c r="G25" s="25"/>
      <c r="H25" s="25"/>
      <c r="I25" s="25"/>
      <c r="J25" s="25"/>
      <c r="K25" s="25"/>
      <c r="L25" s="25"/>
      <c r="M25" s="25"/>
      <c r="N25" s="25"/>
    </row>
    <row r="26" spans="1:14" ht="15" hidden="1" customHeight="1" x14ac:dyDescent="0.25">
      <c r="A26" s="25"/>
      <c r="B26" s="25"/>
      <c r="C26" s="25"/>
      <c r="D26" s="25"/>
      <c r="E26" s="25"/>
      <c r="F26" s="25"/>
      <c r="G26" s="25"/>
      <c r="H26" s="25"/>
      <c r="I26" s="25"/>
      <c r="J26" s="25"/>
      <c r="K26" s="25"/>
      <c r="L26" s="25"/>
      <c r="M26" s="25"/>
      <c r="N26" s="25"/>
    </row>
    <row r="27" spans="1:14" ht="15" hidden="1" customHeight="1" x14ac:dyDescent="0.25">
      <c r="A27" s="25"/>
      <c r="B27" s="25"/>
      <c r="C27" s="25"/>
      <c r="D27" s="25"/>
      <c r="E27" s="25"/>
      <c r="F27" s="25"/>
      <c r="G27" s="25"/>
      <c r="H27" s="25"/>
      <c r="I27" s="25"/>
      <c r="J27" s="25"/>
      <c r="K27" s="25"/>
      <c r="L27" s="25"/>
      <c r="M27" s="25"/>
      <c r="N27" s="25"/>
    </row>
    <row r="28" spans="1:14" hidden="1" x14ac:dyDescent="0.25">
      <c r="A28" s="25"/>
      <c r="B28" s="25"/>
      <c r="C28" s="25"/>
      <c r="D28" s="25"/>
      <c r="E28" s="25"/>
      <c r="F28" s="25"/>
      <c r="G28" s="25"/>
      <c r="H28" s="25"/>
      <c r="I28" s="25"/>
      <c r="J28" s="25"/>
      <c r="K28" s="25"/>
      <c r="L28" s="25"/>
      <c r="M28" s="25"/>
      <c r="N28" s="25"/>
    </row>
    <row r="29" spans="1:14" hidden="1" x14ac:dyDescent="0.25">
      <c r="A29" s="25"/>
      <c r="B29" s="25"/>
      <c r="C29" s="25"/>
      <c r="D29" s="25"/>
      <c r="E29" s="25"/>
      <c r="F29" s="25"/>
      <c r="G29" s="25"/>
      <c r="H29" s="25"/>
      <c r="I29" s="25"/>
      <c r="J29" s="25"/>
      <c r="K29" s="25"/>
      <c r="L29" s="25"/>
      <c r="M29" s="25"/>
      <c r="N29" s="25"/>
    </row>
    <row r="30" spans="1:14" hidden="1" x14ac:dyDescent="0.25">
      <c r="A30" s="25"/>
      <c r="B30" s="25"/>
      <c r="C30" s="25"/>
      <c r="D30" s="25"/>
      <c r="E30" s="25"/>
      <c r="F30" s="25"/>
      <c r="G30" s="25"/>
      <c r="H30" s="25"/>
      <c r="I30" s="25"/>
      <c r="J30" s="25"/>
      <c r="K30" s="25"/>
      <c r="L30" s="25"/>
      <c r="M30" s="25"/>
      <c r="N30" s="25"/>
    </row>
    <row r="31" spans="1:14" hidden="1" x14ac:dyDescent="0.25">
      <c r="A31" s="25"/>
      <c r="B31" s="25"/>
      <c r="C31" s="25"/>
      <c r="D31" s="25"/>
      <c r="E31" s="25"/>
      <c r="F31" s="25"/>
      <c r="G31" s="25"/>
      <c r="H31" s="25"/>
    </row>
    <row r="32" spans="1:14" hidden="1" x14ac:dyDescent="0.25">
      <c r="A32" s="25"/>
      <c r="B32" s="25"/>
      <c r="C32" s="25"/>
      <c r="D32" s="25"/>
      <c r="E32" s="25"/>
      <c r="F32" s="25"/>
      <c r="G32" s="25"/>
      <c r="H32" s="25"/>
    </row>
    <row r="33" spans="1:8" hidden="1" x14ac:dyDescent="0.25">
      <c r="A33" s="25"/>
      <c r="B33" s="25"/>
      <c r="C33" s="25"/>
      <c r="D33" s="25"/>
      <c r="E33" s="25"/>
      <c r="F33" s="25"/>
      <c r="G33" s="25"/>
      <c r="H33" s="25"/>
    </row>
    <row r="34" spans="1:8" hidden="1" x14ac:dyDescent="0.25">
      <c r="A34" s="25"/>
      <c r="B34" s="25"/>
      <c r="C34" s="25"/>
      <c r="D34" s="25"/>
      <c r="E34" s="25"/>
      <c r="F34" s="25"/>
      <c r="G34" s="25"/>
      <c r="H34" s="25"/>
    </row>
    <row r="35" spans="1:8" hidden="1" x14ac:dyDescent="0.25">
      <c r="A35" s="25"/>
      <c r="B35" s="25"/>
      <c r="C35" s="25"/>
      <c r="D35" s="25"/>
      <c r="E35" s="25"/>
      <c r="F35" s="25"/>
      <c r="G35" s="25"/>
      <c r="H35" s="25"/>
    </row>
    <row r="36" spans="1:8" hidden="1" x14ac:dyDescent="0.25">
      <c r="A36" s="25"/>
      <c r="B36" s="25"/>
      <c r="C36" s="25"/>
      <c r="D36" s="25"/>
      <c r="E36" s="25"/>
      <c r="F36" s="25"/>
      <c r="G36" s="25"/>
      <c r="H36" s="25"/>
    </row>
    <row r="37" spans="1:8" hidden="1" x14ac:dyDescent="0.25">
      <c r="A37" s="25"/>
      <c r="B37" s="25"/>
      <c r="C37" s="25"/>
      <c r="D37" s="25"/>
      <c r="E37" s="25"/>
      <c r="F37" s="25"/>
      <c r="G37" s="25"/>
      <c r="H37" s="25"/>
    </row>
    <row r="38" spans="1:8" hidden="1" x14ac:dyDescent="0.25">
      <c r="A38" s="25"/>
      <c r="B38" s="25"/>
      <c r="C38" s="25"/>
      <c r="D38" s="25"/>
      <c r="E38" s="25"/>
      <c r="F38" s="25"/>
      <c r="G38" s="25"/>
      <c r="H38" s="25"/>
    </row>
    <row r="39" spans="1:8" hidden="1" x14ac:dyDescent="0.25">
      <c r="A39" s="25"/>
      <c r="B39" s="25"/>
      <c r="C39" s="25"/>
      <c r="D39" s="25"/>
      <c r="E39" s="25"/>
      <c r="F39" s="25"/>
      <c r="G39" s="25"/>
      <c r="H39" s="25"/>
    </row>
    <row r="49" customFormat="1" hidden="1" x14ac:dyDescent="0.25"/>
    <row r="50" customFormat="1" hidden="1" x14ac:dyDescent="0.25"/>
    <row r="51" customFormat="1" hidden="1" x14ac:dyDescent="0.25"/>
  </sheetData>
  <sheetProtection algorithmName="SHA-512" hashValue="C7z4ytCKweFMgndit5Ew9jK/5sUoKMK856bu3va1ydQ28LJOXzFgc0fmb9Bm+zfs+RBDOgnH3J+YKJzufoSvxw==" saltValue="PfqgEqhXd6ECUS42onoFWw==" spinCount="100000" sheet="1" objects="1" scenarios="1"/>
  <mergeCells count="7">
    <mergeCell ref="E6:H6"/>
    <mergeCell ref="C20:D20"/>
    <mergeCell ref="C3:D3"/>
    <mergeCell ref="C2:D2"/>
    <mergeCell ref="C13:D13"/>
    <mergeCell ref="C14:D14"/>
    <mergeCell ref="C18:D18"/>
  </mergeCells>
  <conditionalFormatting sqref="C6">
    <cfRule type="expression" dxfId="202" priority="12">
      <formula>IF(C6&lt;&gt;"",TRUE,"")</formula>
    </cfRule>
  </conditionalFormatting>
  <conditionalFormatting sqref="C7">
    <cfRule type="expression" dxfId="201" priority="15">
      <formula>IF(AND(LEFT(D7,1)="E",C7&lt;&gt;""),TRUE,"")</formula>
    </cfRule>
    <cfRule type="expression" dxfId="200" priority="16" stopIfTrue="1">
      <formula>IF(AND(LEFT(D7,1)&lt;&gt;"E",C7&lt;&gt;""),TRUE,"")</formula>
    </cfRule>
  </conditionalFormatting>
  <conditionalFormatting sqref="C8">
    <cfRule type="expression" dxfId="199" priority="14">
      <formula>AND(C8&gt;0,C8&lt;=C7,C8&lt;1001)</formula>
    </cfRule>
  </conditionalFormatting>
  <conditionalFormatting sqref="C8:C9">
    <cfRule type="expression" dxfId="198" priority="8" stopIfTrue="1">
      <formula>IF(LEFT(D8,1)="E","TRUE","")</formula>
    </cfRule>
  </conditionalFormatting>
  <conditionalFormatting sqref="C9">
    <cfRule type="containsText" dxfId="197" priority="2" operator="containsText" text="Unknown">
      <formula>NOT(ISERROR(SEARCH("Unknown",C9)))</formula>
    </cfRule>
    <cfRule type="expression" dxfId="196" priority="9">
      <formula>AND(C9&gt;0,LEFT(D10,1)&lt;&gt;"E")</formula>
    </cfRule>
  </conditionalFormatting>
  <conditionalFormatting sqref="C11:C12">
    <cfRule type="expression" dxfId="195" priority="31">
      <formula>C11="Within 500m of site boundary"</formula>
    </cfRule>
    <cfRule type="expression" dxfId="194" priority="32">
      <formula>C11="On site"</formula>
    </cfRule>
    <cfRule type="expression" dxfId="193" priority="33">
      <formula>C11="No"</formula>
    </cfRule>
  </conditionalFormatting>
  <conditionalFormatting sqref="C16:C17">
    <cfRule type="expression" dxfId="192" priority="40">
      <formula>C16="Walkover completed by competent person"</formula>
    </cfRule>
    <cfRule type="expression" dxfId="191" priority="41">
      <formula>C16="No walkover undertaken"</formula>
    </cfRule>
    <cfRule type="expression" dxfId="190" priority="42">
      <formula>C16="Walkover completed by qualified ecologist"</formula>
    </cfRule>
  </conditionalFormatting>
  <conditionalFormatting sqref="D7">
    <cfRule type="expression" dxfId="189" priority="11">
      <formula>IF(LEFT(D7,1)="E","TRUE","")</formula>
    </cfRule>
  </conditionalFormatting>
  <conditionalFormatting sqref="D8:D9">
    <cfRule type="containsText" dxfId="188" priority="7" operator="containsText" text="ERROR">
      <formula>NOT(ISERROR(SEARCH("ERROR",D8)))</formula>
    </cfRule>
  </conditionalFormatting>
  <conditionalFormatting sqref="D11:D12">
    <cfRule type="containsText" dxfId="187" priority="3" operator="containsText" text="Consider">
      <formula>NOT(ISERROR(SEARCH("Consider",D11)))</formula>
    </cfRule>
    <cfRule type="expression" dxfId="186" priority="51">
      <formula>C11="On site"</formula>
    </cfRule>
  </conditionalFormatting>
  <conditionalFormatting sqref="D16">
    <cfRule type="expression" dxfId="185" priority="28">
      <formula>$C$16="Walkover completed by competent person"</formula>
    </cfRule>
    <cfRule type="expression" dxfId="184" priority="49">
      <formula>C16="No walkover undertaken"</formula>
    </cfRule>
  </conditionalFormatting>
  <conditionalFormatting sqref="D17">
    <cfRule type="containsText" dxfId="183" priority="27" operator="containsText" text="Walkover date required">
      <formula>NOT(ISERROR(SEARCH("Walkover date required",D17)))</formula>
    </cfRule>
  </conditionalFormatting>
  <conditionalFormatting sqref="E6:H6">
    <cfRule type="notContainsBlanks" dxfId="182" priority="1">
      <formula>LEN(TRIM(E6))&gt;0</formula>
    </cfRule>
  </conditionalFormatting>
  <dataValidations count="5">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6"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17"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activeCell="E9" sqref="E9"/>
    </sheetView>
  </sheetViews>
  <sheetFormatPr defaultColWidth="8.7109375" defaultRowHeight="15" zeroHeight="1" x14ac:dyDescent="0.25"/>
  <cols>
    <col min="1" max="1" width="3.42578125" customWidth="1"/>
    <col min="2" max="2" width="16.42578125" bestFit="1" customWidth="1"/>
    <col min="3" max="3" width="32.28515625" bestFit="1" customWidth="1"/>
    <col min="4" max="5" width="89.7109375" customWidth="1"/>
    <col min="6" max="7" width="8.7109375" customWidth="1"/>
    <col min="8" max="16382" width="8.7109375" hidden="1" customWidth="1"/>
    <col min="16383" max="16383" width="8.7109375" style="25" customWidth="1"/>
    <col min="16384" max="16384" width="8.7109375" style="25"/>
  </cols>
  <sheetData>
    <row r="1" spans="1:34" ht="15.75" thickBot="1" x14ac:dyDescent="0.3">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x14ac:dyDescent="0.3">
      <c r="A2" s="25"/>
      <c r="B2" s="640" t="s">
        <v>39</v>
      </c>
      <c r="C2" s="641"/>
      <c r="D2" s="265" t="str">
        <f>IF('2. Site Details'!D4="","Enter site name on 2. Site Details",'2. Site Details'!D4)</f>
        <v>Land to the Rear of 292 Henley Road, Reading</v>
      </c>
      <c r="E2" s="643" t="str">
        <f>IF(OR('3. Desktop Assessment'!C16="Walkover completed by competent person",'3. Desktop Assessment'!C16="No walkover undertaken"),IF(COUNTA(D8:E8,D10:E10,D14:E14,D16:E16,D18:E18,D22:E22,D26:E26,D30:E30,D34:E34,D38:E38,D42:E42,D46:E46,D12:E12,D20:E20,D24:E24,D28:E28,D32:E32,D36:E36,D40:E40,D44:E44)=0,"Error - Site photographs required to support application",""),"")</f>
        <v>Error - Site photographs required to support application</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x14ac:dyDescent="0.35">
      <c r="A3" s="25"/>
      <c r="B3" s="638" t="s">
        <v>16</v>
      </c>
      <c r="C3" s="639"/>
      <c r="D3" s="266" t="s">
        <v>55</v>
      </c>
      <c r="E3" s="643"/>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x14ac:dyDescent="0.25">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x14ac:dyDescent="0.35">
      <c r="A5" s="25"/>
      <c r="B5" s="57" t="s">
        <v>56</v>
      </c>
      <c r="C5" s="59"/>
      <c r="D5" s="642" t="s">
        <v>57</v>
      </c>
      <c r="E5" s="642"/>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x14ac:dyDescent="0.3">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x14ac:dyDescent="0.3">
      <c r="A7" s="25"/>
      <c r="B7" s="191" t="s">
        <v>58</v>
      </c>
      <c r="C7" s="192" t="s">
        <v>59</v>
      </c>
      <c r="D7" s="192" t="s">
        <v>60</v>
      </c>
      <c r="E7" s="193" t="s">
        <v>61</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x14ac:dyDescent="0.25">
      <c r="A8" s="25"/>
      <c r="B8" s="636">
        <v>1</v>
      </c>
      <c r="C8" s="172" t="s">
        <v>62</v>
      </c>
      <c r="D8" s="406"/>
      <c r="E8" s="407"/>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x14ac:dyDescent="0.3">
      <c r="A9" s="25"/>
      <c r="B9" s="637"/>
      <c r="C9" s="190" t="str">
        <f>IF('5. Area Habitats'!D11=0,"",'5. Area Habitats'!D11)</f>
        <v>Bramble scrub</v>
      </c>
      <c r="D9" s="195"/>
      <c r="E9" s="196"/>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x14ac:dyDescent="0.25">
      <c r="A10" s="25"/>
      <c r="B10" s="636">
        <v>2</v>
      </c>
      <c r="C10" s="172" t="s">
        <v>62</v>
      </c>
      <c r="D10" s="406"/>
      <c r="E10" s="407"/>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x14ac:dyDescent="0.3">
      <c r="A11" s="25"/>
      <c r="B11" s="637"/>
      <c r="C11" s="190" t="str">
        <f>IF('5. Area Habitats'!D12=0,"",'5. Area Habitats'!D12)</f>
        <v/>
      </c>
      <c r="D11" s="195"/>
      <c r="E11" s="196"/>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x14ac:dyDescent="0.25">
      <c r="A12" s="25"/>
      <c r="B12" s="636">
        <v>3</v>
      </c>
      <c r="C12" s="172" t="s">
        <v>62</v>
      </c>
      <c r="D12" s="406"/>
      <c r="E12" s="407"/>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x14ac:dyDescent="0.3">
      <c r="A13" s="25"/>
      <c r="B13" s="637"/>
      <c r="C13" s="190" t="str">
        <f>IF('5. Area Habitats'!D13=0,"",'5. Area Habitats'!D13)</f>
        <v/>
      </c>
      <c r="D13" s="195"/>
      <c r="E13" s="196"/>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x14ac:dyDescent="0.25">
      <c r="A14" s="25"/>
      <c r="B14" s="644">
        <v>4</v>
      </c>
      <c r="C14" s="172" t="s">
        <v>62</v>
      </c>
      <c r="D14" s="408"/>
      <c r="E14" s="409"/>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x14ac:dyDescent="0.3">
      <c r="A15" s="25"/>
      <c r="B15" s="645"/>
      <c r="C15" s="194" t="str">
        <f>IF('5. Area Habitats'!D14=0,"",'5. Area Habitats'!D14)</f>
        <v/>
      </c>
      <c r="D15" s="197"/>
      <c r="E15" s="198"/>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x14ac:dyDescent="0.25">
      <c r="A16" s="25"/>
      <c r="B16" s="636">
        <v>5</v>
      </c>
      <c r="C16" s="172" t="s">
        <v>62</v>
      </c>
      <c r="D16" s="406"/>
      <c r="E16" s="407"/>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x14ac:dyDescent="0.3">
      <c r="A17" s="25"/>
      <c r="B17" s="637"/>
      <c r="C17" s="190" t="str">
        <f>IF('5. Area Habitats'!D15=0,"",'5. Area Habitats'!D15)</f>
        <v/>
      </c>
      <c r="D17" s="195"/>
      <c r="E17" s="196"/>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x14ac:dyDescent="0.25">
      <c r="A18" s="25"/>
      <c r="B18" s="636">
        <v>6</v>
      </c>
      <c r="C18" s="172" t="s">
        <v>62</v>
      </c>
      <c r="D18" s="406"/>
      <c r="E18" s="407"/>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x14ac:dyDescent="0.3">
      <c r="A19" s="25"/>
      <c r="B19" s="637"/>
      <c r="C19" s="190" t="str">
        <f>IF('5. Area Habitats'!D16=0,"",'5. Area Habitats'!D16)</f>
        <v/>
      </c>
      <c r="D19" s="195"/>
      <c r="E19" s="196"/>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x14ac:dyDescent="0.25">
      <c r="A20" s="25"/>
      <c r="B20" s="636">
        <v>7</v>
      </c>
      <c r="C20" s="172" t="s">
        <v>62</v>
      </c>
      <c r="D20" s="406"/>
      <c r="E20" s="407"/>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x14ac:dyDescent="0.3">
      <c r="A21" s="25"/>
      <c r="B21" s="637"/>
      <c r="C21" s="190" t="str">
        <f>IF('5. Area Habitats'!D17=0,"",'5. Area Habitats'!D17)</f>
        <v/>
      </c>
      <c r="D21" s="195"/>
      <c r="E21" s="196"/>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x14ac:dyDescent="0.25">
      <c r="A22" s="25"/>
      <c r="B22" s="636">
        <v>8</v>
      </c>
      <c r="C22" s="172" t="s">
        <v>62</v>
      </c>
      <c r="D22" s="406"/>
      <c r="E22" s="407"/>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x14ac:dyDescent="0.3">
      <c r="A23" s="25"/>
      <c r="B23" s="637"/>
      <c r="C23" s="190" t="str">
        <f>IF('5. Area Habitats'!D18=0,"",'5. Area Habitats'!D18)</f>
        <v/>
      </c>
      <c r="D23" s="195"/>
      <c r="E23" s="196"/>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x14ac:dyDescent="0.25">
      <c r="A24" s="25"/>
      <c r="B24" s="636">
        <v>9</v>
      </c>
      <c r="C24" s="172" t="s">
        <v>62</v>
      </c>
      <c r="D24" s="406"/>
      <c r="E24" s="407"/>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x14ac:dyDescent="0.3">
      <c r="A25" s="25"/>
      <c r="B25" s="637"/>
      <c r="C25" s="190" t="str">
        <f>IF('5. Area Habitats'!D19=0,"",'5. Area Habitats'!D19)</f>
        <v/>
      </c>
      <c r="D25" s="195"/>
      <c r="E25" s="196"/>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x14ac:dyDescent="0.25">
      <c r="A26" s="25"/>
      <c r="B26" s="636">
        <v>10</v>
      </c>
      <c r="C26" s="172" t="s">
        <v>62</v>
      </c>
      <c r="D26" s="406"/>
      <c r="E26" s="407"/>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x14ac:dyDescent="0.3">
      <c r="A27" s="25"/>
      <c r="B27" s="637"/>
      <c r="C27" s="190" t="str">
        <f>IF('5. Area Habitats'!D20=0,"",'5. Area Habitats'!D20)</f>
        <v/>
      </c>
      <c r="D27" s="195"/>
      <c r="E27" s="196"/>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x14ac:dyDescent="0.25">
      <c r="A28" s="25"/>
      <c r="B28" s="636">
        <v>11</v>
      </c>
      <c r="C28" s="172" t="s">
        <v>62</v>
      </c>
      <c r="D28" s="406"/>
      <c r="E28" s="407"/>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x14ac:dyDescent="0.3">
      <c r="A29" s="25"/>
      <c r="B29" s="637"/>
      <c r="C29" s="190" t="str">
        <f>IF('5. Area Habitats'!D21=0,"",'5. Area Habitats'!D21)</f>
        <v/>
      </c>
      <c r="D29" s="195"/>
      <c r="E29" s="196"/>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x14ac:dyDescent="0.25">
      <c r="A30" s="25"/>
      <c r="B30" s="636">
        <v>12</v>
      </c>
      <c r="C30" s="172" t="s">
        <v>62</v>
      </c>
      <c r="D30" s="406"/>
      <c r="E30" s="407"/>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x14ac:dyDescent="0.3">
      <c r="A31" s="25"/>
      <c r="B31" s="637"/>
      <c r="C31" s="190" t="str">
        <f>IF('5. Area Habitats'!D22=0,"",'5. Area Habitats'!D22)</f>
        <v/>
      </c>
      <c r="D31" s="195"/>
      <c r="E31" s="196"/>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x14ac:dyDescent="0.25">
      <c r="A32" s="25"/>
      <c r="B32" s="636">
        <v>13</v>
      </c>
      <c r="C32" s="172" t="s">
        <v>62</v>
      </c>
      <c r="D32" s="406"/>
      <c r="E32" s="407"/>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x14ac:dyDescent="0.3">
      <c r="A33" s="25"/>
      <c r="B33" s="637"/>
      <c r="C33" s="190" t="str">
        <f>IF('5. Area Habitats'!D23=0,"",'5. Area Habitats'!D23)</f>
        <v/>
      </c>
      <c r="D33" s="195"/>
      <c r="E33" s="196"/>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x14ac:dyDescent="0.25">
      <c r="A34" s="25"/>
      <c r="B34" s="636">
        <v>14</v>
      </c>
      <c r="C34" s="172" t="s">
        <v>62</v>
      </c>
      <c r="D34" s="406"/>
      <c r="E34" s="407"/>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x14ac:dyDescent="0.3">
      <c r="A35" s="25"/>
      <c r="B35" s="637"/>
      <c r="C35" s="190" t="str">
        <f>IF('5. Area Habitats'!D24=0,"",'5. Area Habitats'!D24)</f>
        <v/>
      </c>
      <c r="D35" s="195"/>
      <c r="E35" s="196"/>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x14ac:dyDescent="0.25">
      <c r="A36" s="25"/>
      <c r="B36" s="636">
        <v>15</v>
      </c>
      <c r="C36" s="172" t="s">
        <v>62</v>
      </c>
      <c r="D36" s="406"/>
      <c r="E36" s="407"/>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x14ac:dyDescent="0.3">
      <c r="A37" s="25"/>
      <c r="B37" s="637"/>
      <c r="C37" s="190" t="str">
        <f>IF('5. Area Habitats'!D25=0,"",'5. Area Habitats'!D25)</f>
        <v/>
      </c>
      <c r="D37" s="195"/>
      <c r="E37" s="196"/>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x14ac:dyDescent="0.25">
      <c r="A38" s="25"/>
      <c r="B38" s="636">
        <v>16</v>
      </c>
      <c r="C38" s="172" t="s">
        <v>62</v>
      </c>
      <c r="D38" s="406"/>
      <c r="E38" s="407"/>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x14ac:dyDescent="0.3">
      <c r="A39" s="25"/>
      <c r="B39" s="637"/>
      <c r="C39" s="190" t="str">
        <f>IF('5. Area Habitats'!D26=0,"",'5. Area Habitats'!D26)</f>
        <v/>
      </c>
      <c r="D39" s="195"/>
      <c r="E39" s="196"/>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x14ac:dyDescent="0.25">
      <c r="A40" s="25"/>
      <c r="B40" s="636">
        <v>17</v>
      </c>
      <c r="C40" s="172" t="s">
        <v>62</v>
      </c>
      <c r="D40" s="406"/>
      <c r="E40" s="407"/>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x14ac:dyDescent="0.3">
      <c r="A41" s="25"/>
      <c r="B41" s="637"/>
      <c r="C41" s="190" t="str">
        <f>IF('5. Area Habitats'!D27=0,"",'5. Area Habitats'!D27)</f>
        <v/>
      </c>
      <c r="D41" s="195"/>
      <c r="E41" s="196"/>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x14ac:dyDescent="0.25">
      <c r="A42" s="25"/>
      <c r="B42" s="636">
        <v>18</v>
      </c>
      <c r="C42" s="172" t="s">
        <v>62</v>
      </c>
      <c r="D42" s="406"/>
      <c r="E42" s="407"/>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x14ac:dyDescent="0.3">
      <c r="A43" s="25"/>
      <c r="B43" s="637"/>
      <c r="C43" s="190" t="str">
        <f>IF('5. Area Habitats'!D28=0,"",'5. Area Habitats'!D28)</f>
        <v/>
      </c>
      <c r="D43" s="195"/>
      <c r="E43" s="196"/>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x14ac:dyDescent="0.25">
      <c r="A44" s="25"/>
      <c r="B44" s="636">
        <v>19</v>
      </c>
      <c r="C44" s="172" t="s">
        <v>62</v>
      </c>
      <c r="D44" s="406"/>
      <c r="E44" s="407"/>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x14ac:dyDescent="0.3">
      <c r="A45" s="25"/>
      <c r="B45" s="637"/>
      <c r="C45" s="190" t="str">
        <f>IF('5. Area Habitats'!D29=0,"",'5. Area Habitats'!D29)</f>
        <v/>
      </c>
      <c r="D45" s="195"/>
      <c r="E45" s="196"/>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x14ac:dyDescent="0.25">
      <c r="A46" s="25"/>
      <c r="B46" s="636">
        <v>20</v>
      </c>
      <c r="C46" s="172" t="s">
        <v>62</v>
      </c>
      <c r="D46" s="406"/>
      <c r="E46" s="407"/>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x14ac:dyDescent="0.3">
      <c r="A47" s="25"/>
      <c r="B47" s="637"/>
      <c r="C47" s="190" t="str">
        <f>IF('5. Area Habitats'!D30=0,"",'5. Area Habitats'!D30)</f>
        <v/>
      </c>
      <c r="D47" s="195"/>
      <c r="E47" s="196"/>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x14ac:dyDescent="0.25">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x14ac:dyDescent="0.25">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x14ac:dyDescent="0.25">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x14ac:dyDescent="0.25">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x14ac:dyDescent="0.25">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x14ac:dyDescent="0.25">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x14ac:dyDescent="0.25">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x14ac:dyDescent="0.25">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x14ac:dyDescent="0.25">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x14ac:dyDescent="0.25">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x14ac:dyDescent="0.25">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x14ac:dyDescent="0.25">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x14ac:dyDescent="0.25">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x14ac:dyDescent="0.25">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x14ac:dyDescent="0.25">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x14ac:dyDescent="0.25">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x14ac:dyDescent="0.25">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x14ac:dyDescent="0.25">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x14ac:dyDescent="0.25">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x14ac:dyDescent="0.25">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x14ac:dyDescent="0.25">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x14ac:dyDescent="0.25">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x14ac:dyDescent="0.25">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x14ac:dyDescent="0.25">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x14ac:dyDescent="0.25">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x14ac:dyDescent="0.25">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x14ac:dyDescent="0.25">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x14ac:dyDescent="0.25">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x14ac:dyDescent="0.25">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x14ac:dyDescent="0.25">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x14ac:dyDescent="0.25">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x14ac:dyDescent="0.25">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x14ac:dyDescent="0.25">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x14ac:dyDescent="0.25">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x14ac:dyDescent="0.25">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x14ac:dyDescent="0.25">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x14ac:dyDescent="0.25">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x14ac:dyDescent="0.25">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x14ac:dyDescent="0.25">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x14ac:dyDescent="0.25">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x14ac:dyDescent="0.25">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x14ac:dyDescent="0.25">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x14ac:dyDescent="0.25">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x14ac:dyDescent="0.25">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x14ac:dyDescent="0.25">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x14ac:dyDescent="0.25">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x14ac:dyDescent="0.25">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x14ac:dyDescent="0.25">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x14ac:dyDescent="0.25">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x14ac:dyDescent="0.25">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x14ac:dyDescent="0.25">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x14ac:dyDescent="0.25">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x14ac:dyDescent="0.25">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x14ac:dyDescent="0.25">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x14ac:dyDescent="0.25">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x14ac:dyDescent="0.25">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x14ac:dyDescent="0.25">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x14ac:dyDescent="0.25">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x14ac:dyDescent="0.25">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x14ac:dyDescent="0.25">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x14ac:dyDescent="0.25">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x14ac:dyDescent="0.25">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x14ac:dyDescent="0.25">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x14ac:dyDescent="0.25">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x14ac:dyDescent="0.25">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x14ac:dyDescent="0.25">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x14ac:dyDescent="0.25">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x14ac:dyDescent="0.25">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x14ac:dyDescent="0.25">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x14ac:dyDescent="0.25">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x14ac:dyDescent="0.25">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x14ac:dyDescent="0.25">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x14ac:dyDescent="0.25">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x14ac:dyDescent="0.25">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x14ac:dyDescent="0.25">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x14ac:dyDescent="0.25">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x14ac:dyDescent="0.25">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x14ac:dyDescent="0.25">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x14ac:dyDescent="0.25">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x14ac:dyDescent="0.25">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x14ac:dyDescent="0.25">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x14ac:dyDescent="0.25">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x14ac:dyDescent="0.25">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x14ac:dyDescent="0.25">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x14ac:dyDescent="0.25">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x14ac:dyDescent="0.25">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x14ac:dyDescent="0.25">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x14ac:dyDescent="0.25">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x14ac:dyDescent="0.25">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x14ac:dyDescent="0.25">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x14ac:dyDescent="0.25">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x14ac:dyDescent="0.25">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x14ac:dyDescent="0.25">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x14ac:dyDescent="0.25">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x14ac:dyDescent="0.25">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x14ac:dyDescent="0.25">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x14ac:dyDescent="0.25">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x14ac:dyDescent="0.25">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x14ac:dyDescent="0.25">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x14ac:dyDescent="0.25">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x14ac:dyDescent="0.25">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x14ac:dyDescent="0.25">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x14ac:dyDescent="0.25">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x14ac:dyDescent="0.25">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x14ac:dyDescent="0.25">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x14ac:dyDescent="0.25">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x14ac:dyDescent="0.25">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x14ac:dyDescent="0.25">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x14ac:dyDescent="0.25">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x14ac:dyDescent="0.25">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x14ac:dyDescent="0.25">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A87" zoomScale="85" zoomScaleNormal="85" workbookViewId="0">
      <selection activeCell="K13" sqref="K13"/>
    </sheetView>
  </sheetViews>
  <sheetFormatPr defaultColWidth="8.7109375" defaultRowHeight="15" zeroHeight="1" x14ac:dyDescent="0.25"/>
  <cols>
    <col min="1" max="1" width="4.5703125" customWidth="1"/>
    <col min="2" max="2" width="14.71093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7109375" customWidth="1"/>
    <col min="13" max="14" width="11.42578125" customWidth="1"/>
    <col min="15" max="16" width="27" customWidth="1"/>
    <col min="17" max="18" width="11.42578125" customWidth="1"/>
    <col min="19" max="19" width="2.28515625" customWidth="1"/>
    <col min="20" max="20" width="13" customWidth="1"/>
    <col min="21" max="21" width="14.7109375" customWidth="1"/>
    <col min="22" max="22" width="20.7109375" bestFit="1" customWidth="1"/>
    <col min="23" max="23" width="23.7109375" customWidth="1"/>
    <col min="24" max="24" width="16.71093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28515625" bestFit="1" customWidth="1"/>
    <col min="42" max="42" width="19.7109375" bestFit="1" customWidth="1"/>
    <col min="43" max="43" width="16.28515625" bestFit="1" customWidth="1"/>
    <col min="44" max="47" width="27.28515625" customWidth="1"/>
    <col min="48" max="48" width="21.28515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28515625" customWidth="1"/>
    <col min="74" max="74" width="11.5703125" customWidth="1"/>
    <col min="75" max="77" width="8.7109375" customWidth="1"/>
    <col min="78" max="16379" width="8.7109375" hidden="1" customWidth="1"/>
    <col min="16380" max="16383" width="8.7109375" customWidth="1"/>
  </cols>
  <sheetData>
    <row r="1" spans="1:128" ht="15.75" customHeight="1" thickBot="1" x14ac:dyDescent="0.3">
      <c r="A1" s="25"/>
      <c r="B1" s="25"/>
      <c r="C1" s="25"/>
      <c r="D1" s="25"/>
      <c r="E1" s="25"/>
      <c r="F1" s="25"/>
      <c r="G1" s="25"/>
      <c r="H1" s="25"/>
      <c r="I1" s="52"/>
      <c r="J1" s="52"/>
      <c r="K1" s="52"/>
      <c r="L1" s="52"/>
      <c r="M1" s="52"/>
      <c r="N1" s="52"/>
      <c r="O1" s="158" t="s">
        <v>63</v>
      </c>
      <c r="P1" s="281">
        <f>IFERROR(SUM(AE11:AE31), "Error ▲")</f>
        <v>0</v>
      </c>
      <c r="Q1" s="25"/>
      <c r="R1" s="646" t="s">
        <v>64</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x14ac:dyDescent="0.3">
      <c r="A2" s="25"/>
      <c r="B2" s="80" t="s">
        <v>65</v>
      </c>
      <c r="C2" s="820" t="str">
        <f>IF('2. Site Details'!D4="","Enter site name on 2. Site Details",'2. Site Details'!D4)</f>
        <v>Land to the Rear of 292 Henley Road, Reading</v>
      </c>
      <c r="D2" s="821"/>
      <c r="E2" s="25"/>
      <c r="F2" s="765" t="s">
        <v>66</v>
      </c>
      <c r="G2" s="766"/>
      <c r="H2" s="767"/>
      <c r="I2" s="81"/>
      <c r="J2" s="779" t="str" cm="1">
        <f t="array" ref="J2">IFERROR(IF(OR((ISNUMBER(SEARCH("▲",A7:Q101)))),"Input Errors Present On Sheet - Red Cells Or ▲ Highlight Errors","All Key Rules Satisfied ✓ "),"Technical Errors On Sheet ▲")</f>
        <v xml:space="preserve">All Key Rules Satisfied ✓ </v>
      </c>
      <c r="K2" s="779"/>
      <c r="L2" s="779"/>
      <c r="M2" s="779"/>
      <c r="N2" s="81"/>
      <c r="O2" s="83" t="s">
        <v>67</v>
      </c>
      <c r="P2" s="281">
        <f>IFERROR(N32, "Error ▲")</f>
        <v>0.13396</v>
      </c>
      <c r="Q2" s="25"/>
      <c r="R2" s="646"/>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x14ac:dyDescent="0.35">
      <c r="A3" s="25"/>
      <c r="B3" s="82" t="s">
        <v>16</v>
      </c>
      <c r="C3" s="822" t="s">
        <v>68</v>
      </c>
      <c r="D3" s="823"/>
      <c r="E3" s="25"/>
      <c r="F3" s="768"/>
      <c r="G3" s="769"/>
      <c r="H3" s="770"/>
      <c r="I3" s="81"/>
      <c r="J3" s="779"/>
      <c r="K3" s="779"/>
      <c r="L3" s="779"/>
      <c r="M3" s="779"/>
      <c r="N3" s="81"/>
      <c r="O3" s="83" t="s">
        <v>69</v>
      </c>
      <c r="P3" s="281">
        <f>IFERROR(L61, "Error ▲")</f>
        <v>3.4199599999999997E-2</v>
      </c>
      <c r="Q3" s="25"/>
      <c r="R3" s="646"/>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x14ac:dyDescent="0.25">
      <c r="A4" s="25"/>
      <c r="B4" s="84"/>
      <c r="C4" s="84"/>
      <c r="D4" s="84"/>
      <c r="E4" s="25"/>
      <c r="F4" s="768"/>
      <c r="G4" s="769"/>
      <c r="H4" s="770"/>
      <c r="I4" s="81"/>
      <c r="J4" s="779"/>
      <c r="K4" s="779"/>
      <c r="L4" s="779"/>
      <c r="M4" s="779"/>
      <c r="N4" s="81"/>
      <c r="O4" s="83" t="s">
        <v>70</v>
      </c>
      <c r="P4" s="281">
        <f>IFERROR(L89, "Error ▲")</f>
        <v>0</v>
      </c>
      <c r="Q4" s="25"/>
      <c r="R4" s="646"/>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x14ac:dyDescent="0.3">
      <c r="A5" s="85"/>
      <c r="B5" s="25"/>
      <c r="C5" s="25"/>
      <c r="D5" s="25"/>
      <c r="E5" s="25"/>
      <c r="F5" s="768"/>
      <c r="G5" s="769"/>
      <c r="H5" s="770"/>
      <c r="I5" s="81"/>
      <c r="J5" s="779"/>
      <c r="K5" s="779"/>
      <c r="L5" s="779"/>
      <c r="M5" s="779"/>
      <c r="N5" s="81"/>
      <c r="O5" s="86" t="s">
        <v>71</v>
      </c>
      <c r="P5" s="282">
        <f>IFERROR((P1+L61+L89)-L32, "Error ▲")</f>
        <v>-9.9760399999999999E-2</v>
      </c>
      <c r="Q5" s="25"/>
      <c r="R5" s="646"/>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x14ac:dyDescent="0.3">
      <c r="A6" s="85"/>
      <c r="B6" s="25"/>
      <c r="C6" s="25"/>
      <c r="D6" s="25"/>
      <c r="E6" s="25"/>
      <c r="F6" s="771"/>
      <c r="G6" s="772"/>
      <c r="H6" s="773"/>
      <c r="I6" s="52"/>
      <c r="J6" s="52"/>
      <c r="K6" s="52"/>
      <c r="L6" s="52"/>
      <c r="M6" s="52"/>
      <c r="N6" s="52"/>
      <c r="O6" s="87"/>
      <c r="P6" s="87"/>
      <c r="Q6" s="25"/>
      <c r="R6" s="646"/>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x14ac:dyDescent="0.35">
      <c r="A7" s="25"/>
      <c r="B7" s="57" t="s">
        <v>72</v>
      </c>
      <c r="C7" s="25"/>
      <c r="D7" s="88"/>
      <c r="E7" s="25"/>
      <c r="F7" s="25"/>
      <c r="G7" s="25"/>
      <c r="H7" s="26"/>
      <c r="I7" s="25"/>
      <c r="J7" s="25"/>
      <c r="K7" s="26"/>
      <c r="L7" s="30"/>
      <c r="M7" s="30"/>
      <c r="N7" s="30"/>
      <c r="O7" s="25"/>
      <c r="P7" s="25"/>
      <c r="Q7" s="25"/>
      <c r="R7" s="646"/>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x14ac:dyDescent="0.3">
      <c r="A8" s="89"/>
      <c r="B8" s="25"/>
      <c r="C8" s="25"/>
      <c r="D8" s="25"/>
      <c r="E8" s="25"/>
      <c r="F8" s="25"/>
      <c r="G8" s="25"/>
      <c r="H8" s="25"/>
      <c r="I8" s="25"/>
      <c r="J8" s="25"/>
      <c r="K8" s="25"/>
      <c r="L8" s="25"/>
      <c r="M8" s="25"/>
      <c r="N8" s="25"/>
      <c r="O8" s="25"/>
      <c r="P8" s="25"/>
      <c r="Q8" s="25"/>
      <c r="R8" s="646"/>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65" customHeight="1" x14ac:dyDescent="0.25">
      <c r="A9" s="89"/>
      <c r="B9" s="728" t="s">
        <v>58</v>
      </c>
      <c r="C9" s="717" t="s">
        <v>73</v>
      </c>
      <c r="D9" s="718"/>
      <c r="E9" s="719"/>
      <c r="F9" s="749" t="s">
        <v>74</v>
      </c>
      <c r="G9" s="750"/>
      <c r="H9" s="751"/>
      <c r="I9" s="717" t="s">
        <v>75</v>
      </c>
      <c r="J9" s="718"/>
      <c r="K9" s="719"/>
      <c r="L9" s="746" t="s">
        <v>76</v>
      </c>
      <c r="M9" s="747"/>
      <c r="N9" s="748"/>
      <c r="O9" s="746" t="s">
        <v>77</v>
      </c>
      <c r="P9" s="748"/>
      <c r="Q9" s="25"/>
      <c r="R9" s="646"/>
      <c r="S9" s="25"/>
      <c r="T9" s="674" t="s">
        <v>78</v>
      </c>
      <c r="U9" s="675"/>
      <c r="V9" s="676"/>
      <c r="W9" s="755" t="s">
        <v>79</v>
      </c>
      <c r="X9" s="676"/>
      <c r="Y9" s="756"/>
      <c r="Z9" s="756"/>
      <c r="AA9" s="756"/>
      <c r="AB9" s="674" t="s">
        <v>80</v>
      </c>
      <c r="AC9" s="675"/>
      <c r="AD9" s="676"/>
      <c r="AE9" s="674" t="s">
        <v>81</v>
      </c>
      <c r="AF9" s="675"/>
      <c r="AG9" s="676"/>
      <c r="AH9" s="828" t="s">
        <v>82</v>
      </c>
      <c r="AI9" s="742" t="s">
        <v>83</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x14ac:dyDescent="0.3">
      <c r="A10" s="89"/>
      <c r="B10" s="729"/>
      <c r="C10" s="86" t="s">
        <v>84</v>
      </c>
      <c r="D10" s="814" t="s">
        <v>85</v>
      </c>
      <c r="E10" s="815"/>
      <c r="F10" s="752"/>
      <c r="G10" s="753"/>
      <c r="H10" s="754"/>
      <c r="I10" s="86" t="s">
        <v>86</v>
      </c>
      <c r="J10" s="201" t="s">
        <v>87</v>
      </c>
      <c r="K10" s="90" t="s">
        <v>88</v>
      </c>
      <c r="L10" s="86" t="s">
        <v>89</v>
      </c>
      <c r="M10" s="201" t="s">
        <v>90</v>
      </c>
      <c r="N10" s="90" t="s">
        <v>91</v>
      </c>
      <c r="O10" s="86" t="s">
        <v>92</v>
      </c>
      <c r="P10" s="90" t="s">
        <v>93</v>
      </c>
      <c r="Q10" s="25"/>
      <c r="R10" s="646"/>
      <c r="S10" s="25"/>
      <c r="T10" s="672" t="s">
        <v>94</v>
      </c>
      <c r="U10" s="673"/>
      <c r="V10" s="92" t="s">
        <v>95</v>
      </c>
      <c r="W10" s="338" t="s">
        <v>96</v>
      </c>
      <c r="X10" s="92" t="s">
        <v>95</v>
      </c>
      <c r="Y10" s="350"/>
      <c r="Z10" s="350"/>
      <c r="AA10" s="350"/>
      <c r="AB10" s="91" t="s">
        <v>80</v>
      </c>
      <c r="AC10" s="49" t="s">
        <v>80</v>
      </c>
      <c r="AD10" s="92" t="s">
        <v>97</v>
      </c>
      <c r="AE10" s="91" t="s">
        <v>98</v>
      </c>
      <c r="AF10" s="49" t="s">
        <v>99</v>
      </c>
      <c r="AG10" s="92" t="s">
        <v>100</v>
      </c>
      <c r="AH10" s="829"/>
      <c r="AI10" s="827"/>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30" x14ac:dyDescent="0.25">
      <c r="A11" s="89"/>
      <c r="B11" s="267">
        <v>1</v>
      </c>
      <c r="C11" s="262" t="s">
        <v>216</v>
      </c>
      <c r="D11" s="713" t="s">
        <v>323</v>
      </c>
      <c r="E11" s="714"/>
      <c r="F11" s="759" t="s">
        <v>124</v>
      </c>
      <c r="G11" s="760"/>
      <c r="H11" s="761"/>
      <c r="I11" s="309">
        <v>334.9</v>
      </c>
      <c r="J11" s="327"/>
      <c r="K11" s="311"/>
      <c r="L11" s="416">
        <f>IF(C11="","",IFERROR(IF(I11="","",((I11/10000)*V11*X11)*AD11),"Error ▲"))</f>
        <v>0.13396</v>
      </c>
      <c r="M11" s="416">
        <f>IF(I11="","",IF(J11+K11&gt;I11,"Area Error ▲",I11-J11-K11))</f>
        <v>334.9</v>
      </c>
      <c r="N11" s="417">
        <f>IFERROR(IF(I11="","",IF(M11="Area Error ▲","Area Error ▲",((M11/10000)*V11*X11)*AD11)),"This intervention is not permitted within the SSM ▲")</f>
        <v>0.13396</v>
      </c>
      <c r="O11" s="67" t="s">
        <v>1045</v>
      </c>
      <c r="P11" s="5"/>
      <c r="Q11" s="25"/>
      <c r="R11" s="646"/>
      <c r="S11" s="25"/>
      <c r="T11" s="655" t="str">
        <f>IF(C11="","",VLOOKUP(D11,'9. All Habitats + Multipliers'!$C$4:$K$102,5,FALSE))</f>
        <v>Medium</v>
      </c>
      <c r="U11" s="656"/>
      <c r="V11" s="94">
        <f>IF(T11="","",VLOOKUP(T11,'11. Lists'!$B$47:$D$49,2,FALSE))</f>
        <v>4</v>
      </c>
      <c r="W11" s="188" t="str">
        <f>IF(C11="","",VLOOKUP(D11,'10. Condition and Temporal'!$B$6:$C$103,2,FALSE))</f>
        <v>Condition Assessment N/A</v>
      </c>
      <c r="X11" s="94">
        <f>IF(W11="","",VLOOKUP(W11,'11. Lists'!$F$47:$G$51,2,FALSE))</f>
        <v>1</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302">
        <f>IF(D11="","",((J11/10000)*V11*X11)*AD11)</f>
        <v>0</v>
      </c>
      <c r="AF11" s="303">
        <f>IF(D11="","",((K11/10000)*V11*X11)*AD11)</f>
        <v>0</v>
      </c>
      <c r="AG11" s="96">
        <f>IF(D11="","",M11)</f>
        <v>334.9</v>
      </c>
      <c r="AH11" s="519" t="str">
        <f>IF(T11="","",VLOOKUP(T11,'11. Lists'!$B$47:$D$49,3,FALSE))</f>
        <v>Same broad habitat or a higher distinctiveness habitat required</v>
      </c>
      <c r="AI11" s="553" t="str">
        <f>IF(D11="","",VLOOKUP(D11,'10. Condition and Temporal'!$B$6:$L$103,4,FALSE))</f>
        <v>Blackthorn scrub, Gorse scrub, Hawthorn scrub, Hazel scrub, Mixed scrub, Willow scrub</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15.75" x14ac:dyDescent="0.25">
      <c r="A12" s="25"/>
      <c r="B12" s="268">
        <v>2</v>
      </c>
      <c r="C12" s="262"/>
      <c r="D12" s="816"/>
      <c r="E12" s="817"/>
      <c r="F12" s="759"/>
      <c r="G12" s="760"/>
      <c r="H12" s="761"/>
      <c r="I12" s="309"/>
      <c r="J12" s="310"/>
      <c r="K12" s="311"/>
      <c r="L12" s="305" t="str">
        <f t="shared" ref="L12:L30" si="0">IF(C12="","",IFERROR(IF(I12="","",((I12/10000)*V12*X12)*AD12),"Error ▲"))</f>
        <v/>
      </c>
      <c r="M12" s="305" t="str">
        <f t="shared" ref="M12:M30" si="1">IF(I12="","",IF(J12+K12&gt;I12,"Area Error ▲",I12-J12-K12))</f>
        <v/>
      </c>
      <c r="N12" s="360" t="str">
        <f t="shared" ref="N12:N30" si="2">IFERROR(IF(I12="","",IF(M12="Area Error ▲","Area Error ▲",((M12/10000)*V12*X12)*AD12)),"This intervention is not permitted within the SSM ▲")</f>
        <v/>
      </c>
      <c r="O12" s="68"/>
      <c r="P12" s="3"/>
      <c r="Q12" s="25"/>
      <c r="R12" s="646"/>
      <c r="S12" s="25"/>
      <c r="T12" s="655" t="str">
        <f>IF(C12="","",VLOOKUP(D12,'9. All Habitats + Multipliers'!$C$4:$K$102,5,FALSE))</f>
        <v/>
      </c>
      <c r="U12" s="656"/>
      <c r="V12" s="94" t="str">
        <f>IF(T12="","",VLOOKUP(T12,'11. Lists'!$B$47:$D$49,2,FALSE))</f>
        <v/>
      </c>
      <c r="W12" s="188" t="str">
        <f>IF(C12="","",VLOOKUP(D12,'10. Condition and Temporal'!$B$6:$C$103,2,FALSE))</f>
        <v/>
      </c>
      <c r="X12" s="94" t="str">
        <f>IF(W12="","",VLOOKUP(W12,'11. Lists'!$F$47:$G$51,2,FALSE))</f>
        <v/>
      </c>
      <c r="Y12" s="48"/>
      <c r="Z12" s="48"/>
      <c r="AA12" s="48"/>
      <c r="AB12" s="93" t="str">
        <f>IF(F12="","",F12)</f>
        <v/>
      </c>
      <c r="AC12" s="95" t="str">
        <f>IF(AB12="","",VLOOKUP(AB12,'11. Lists'!$F$36:$H$38,2,FALSE))</f>
        <v/>
      </c>
      <c r="AD12" s="94" t="str">
        <f>IF(AB12="","",VLOOKUP(AB12,'11. Lists'!$F$36:$H$38,3,FALSE))</f>
        <v/>
      </c>
      <c r="AE12" s="302" t="str">
        <f t="shared" ref="AE12:AE30" si="3">IF(D12="","",((J12/10000)*V12*X12)*AD12)</f>
        <v/>
      </c>
      <c r="AF12" s="303" t="str">
        <f t="shared" ref="AF12:AF30" si="4">IF(D12="","",((K12/10000)*V12*X12)*AD12)</f>
        <v/>
      </c>
      <c r="AG12" s="96" t="str">
        <f t="shared" ref="AG12:AG31" si="5">IF(D12="","",M12)</f>
        <v/>
      </c>
      <c r="AH12" s="519" t="str">
        <f>IF(T12="","",VLOOKUP(T12,'11. Lists'!$B$47:$D$49,3,FALSE))</f>
        <v/>
      </c>
      <c r="AI12" s="553" t="str">
        <f>IF(D12="","",VLOOKUP(D12,'10. Condition and Temporal'!$B$6:$L$103,4,FALSE))</f>
        <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75" x14ac:dyDescent="0.25">
      <c r="A13" s="25"/>
      <c r="B13" s="268">
        <v>3</v>
      </c>
      <c r="C13" s="262"/>
      <c r="D13" s="816"/>
      <c r="E13" s="817"/>
      <c r="F13" s="759"/>
      <c r="G13" s="760"/>
      <c r="H13" s="761"/>
      <c r="I13" s="309"/>
      <c r="J13" s="310"/>
      <c r="K13" s="311"/>
      <c r="L13" s="305" t="str">
        <f t="shared" si="0"/>
        <v/>
      </c>
      <c r="M13" s="305" t="str">
        <f t="shared" si="1"/>
        <v/>
      </c>
      <c r="N13" s="360" t="str">
        <f t="shared" si="2"/>
        <v/>
      </c>
      <c r="O13" s="68"/>
      <c r="P13" s="3"/>
      <c r="Q13" s="25"/>
      <c r="R13" s="646"/>
      <c r="S13" s="25"/>
      <c r="T13" s="655" t="str">
        <f>IF(C13="","",VLOOKUP(D13,'9. All Habitats + Multipliers'!$C$4:$K$102,5,FALSE))</f>
        <v/>
      </c>
      <c r="U13" s="656"/>
      <c r="V13" s="94" t="str">
        <f>IF(T13="","",VLOOKUP(T13,'11. Lists'!$B$47:$D$49,2,FALSE))</f>
        <v/>
      </c>
      <c r="W13" s="188"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302" t="str">
        <f t="shared" si="3"/>
        <v/>
      </c>
      <c r="AF13" s="303" t="str">
        <f t="shared" si="4"/>
        <v/>
      </c>
      <c r="AG13" s="96" t="str">
        <f t="shared" si="5"/>
        <v/>
      </c>
      <c r="AH13" s="519" t="str">
        <f>IF(T13="","",VLOOKUP(T13,'11. Lists'!$B$47:$D$49,3,FALSE))</f>
        <v/>
      </c>
      <c r="AI13" s="553"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x14ac:dyDescent="0.25">
      <c r="A14" s="25"/>
      <c r="B14" s="268">
        <v>4</v>
      </c>
      <c r="C14" s="262"/>
      <c r="D14" s="713"/>
      <c r="E14" s="714"/>
      <c r="F14" s="759"/>
      <c r="G14" s="760"/>
      <c r="H14" s="761"/>
      <c r="I14" s="309"/>
      <c r="J14" s="310"/>
      <c r="K14" s="311"/>
      <c r="L14" s="305" t="str">
        <f t="shared" si="0"/>
        <v/>
      </c>
      <c r="M14" s="305" t="str">
        <f t="shared" si="1"/>
        <v/>
      </c>
      <c r="N14" s="360" t="str">
        <f t="shared" si="2"/>
        <v/>
      </c>
      <c r="O14" s="68"/>
      <c r="P14" s="3"/>
      <c r="Q14" s="25"/>
      <c r="R14" s="646"/>
      <c r="S14" s="25"/>
      <c r="T14" s="655" t="str">
        <f>IF(C14="","",VLOOKUP(D14,'9. All Habitats + Multipliers'!$C$4:$K$102,5,FALSE))</f>
        <v/>
      </c>
      <c r="U14" s="656"/>
      <c r="V14" s="94" t="str">
        <f>IF(T14="","",VLOOKUP(T14,'11. Lists'!$B$47:$D$49,2,FALSE))</f>
        <v/>
      </c>
      <c r="W14" s="188"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302" t="str">
        <f t="shared" si="3"/>
        <v/>
      </c>
      <c r="AF14" s="303" t="str">
        <f t="shared" si="4"/>
        <v/>
      </c>
      <c r="AG14" s="96" t="str">
        <f t="shared" si="5"/>
        <v/>
      </c>
      <c r="AH14" s="519" t="str">
        <f>IF(T14="","",VLOOKUP(T14,'11. Lists'!$B$47:$D$49,3,FALSE))</f>
        <v/>
      </c>
      <c r="AI14" s="553"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x14ac:dyDescent="0.25">
      <c r="A15" s="25"/>
      <c r="B15" s="268">
        <v>5</v>
      </c>
      <c r="C15" s="262"/>
      <c r="D15" s="816"/>
      <c r="E15" s="817"/>
      <c r="F15" s="759"/>
      <c r="G15" s="760"/>
      <c r="H15" s="761"/>
      <c r="I15" s="309"/>
      <c r="J15" s="310"/>
      <c r="K15" s="311"/>
      <c r="L15" s="305" t="str">
        <f t="shared" si="0"/>
        <v/>
      </c>
      <c r="M15" s="305" t="str">
        <f t="shared" si="1"/>
        <v/>
      </c>
      <c r="N15" s="360" t="str">
        <f t="shared" si="2"/>
        <v/>
      </c>
      <c r="O15" s="68"/>
      <c r="P15" s="3"/>
      <c r="Q15" s="25"/>
      <c r="R15" s="646"/>
      <c r="S15" s="25"/>
      <c r="T15" s="655" t="str">
        <f>IF(C15="","",VLOOKUP(D15,'9. All Habitats + Multipliers'!$C$4:$K$102,5,FALSE))</f>
        <v/>
      </c>
      <c r="U15" s="656"/>
      <c r="V15" s="94" t="str">
        <f>IF(T15="","",VLOOKUP(T15,'11. Lists'!$B$47:$D$49,2,FALSE))</f>
        <v/>
      </c>
      <c r="W15" s="188"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302" t="str">
        <f t="shared" si="3"/>
        <v/>
      </c>
      <c r="AF15" s="303" t="str">
        <f t="shared" si="4"/>
        <v/>
      </c>
      <c r="AG15" s="96" t="str">
        <f t="shared" si="5"/>
        <v/>
      </c>
      <c r="AH15" s="519" t="str">
        <f>IF(T15="","",VLOOKUP(T15,'11. Lists'!$B$47:$D$49,3,FALSE))</f>
        <v/>
      </c>
      <c r="AI15" s="553"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x14ac:dyDescent="0.25">
      <c r="A16" s="25"/>
      <c r="B16" s="268">
        <v>6</v>
      </c>
      <c r="C16" s="262"/>
      <c r="D16" s="816"/>
      <c r="E16" s="817"/>
      <c r="F16" s="759"/>
      <c r="G16" s="760"/>
      <c r="H16" s="761"/>
      <c r="I16" s="309"/>
      <c r="J16" s="310"/>
      <c r="K16" s="311"/>
      <c r="L16" s="305" t="str">
        <f t="shared" si="0"/>
        <v/>
      </c>
      <c r="M16" s="305" t="str">
        <f t="shared" si="1"/>
        <v/>
      </c>
      <c r="N16" s="360" t="str">
        <f t="shared" si="2"/>
        <v/>
      </c>
      <c r="O16" s="68"/>
      <c r="P16" s="3"/>
      <c r="Q16" s="25"/>
      <c r="R16" s="646"/>
      <c r="S16" s="25"/>
      <c r="T16" s="655" t="str">
        <f>IF(C16="","",VLOOKUP(D16,'9. All Habitats + Multipliers'!$C$4:$K$102,5,FALSE))</f>
        <v/>
      </c>
      <c r="U16" s="656"/>
      <c r="V16" s="94" t="str">
        <f>IF(T16="","",VLOOKUP(T16,'11. Lists'!$B$47:$D$49,2,FALSE))</f>
        <v/>
      </c>
      <c r="W16" s="188"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302" t="str">
        <f t="shared" si="3"/>
        <v/>
      </c>
      <c r="AF16" s="303" t="str">
        <f t="shared" si="4"/>
        <v/>
      </c>
      <c r="AG16" s="96" t="str">
        <f t="shared" si="5"/>
        <v/>
      </c>
      <c r="AH16" s="519" t="str">
        <f>IF(T16="","",VLOOKUP(T16,'11. Lists'!$B$47:$D$49,3,FALSE))</f>
        <v/>
      </c>
      <c r="AI16" s="553"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x14ac:dyDescent="0.25">
      <c r="A17" s="25"/>
      <c r="B17" s="268">
        <v>7</v>
      </c>
      <c r="C17" s="262"/>
      <c r="D17" s="816"/>
      <c r="E17" s="817"/>
      <c r="F17" s="759"/>
      <c r="G17" s="760"/>
      <c r="H17" s="761"/>
      <c r="I17" s="309"/>
      <c r="J17" s="310"/>
      <c r="K17" s="311"/>
      <c r="L17" s="305" t="str">
        <f t="shared" si="0"/>
        <v/>
      </c>
      <c r="M17" s="305" t="str">
        <f t="shared" si="1"/>
        <v/>
      </c>
      <c r="N17" s="360" t="str">
        <f t="shared" si="2"/>
        <v/>
      </c>
      <c r="O17" s="68"/>
      <c r="P17" s="3"/>
      <c r="Q17" s="25"/>
      <c r="R17" s="646"/>
      <c r="S17" s="25"/>
      <c r="T17" s="655" t="str">
        <f>IF(C17="","",VLOOKUP(D17,'9. All Habitats + Multipliers'!$C$4:$K$102,5,FALSE))</f>
        <v/>
      </c>
      <c r="U17" s="656"/>
      <c r="V17" s="94" t="str">
        <f>IF(T17="","",VLOOKUP(T17,'11. Lists'!$B$47:$D$49,2,FALSE))</f>
        <v/>
      </c>
      <c r="W17" s="188"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302" t="str">
        <f t="shared" si="3"/>
        <v/>
      </c>
      <c r="AF17" s="303" t="str">
        <f t="shared" si="4"/>
        <v/>
      </c>
      <c r="AG17" s="96" t="str">
        <f t="shared" si="5"/>
        <v/>
      </c>
      <c r="AH17" s="519" t="str">
        <f>IF(T17="","",VLOOKUP(T17,'11. Lists'!$B$47:$D$49,3,FALSE))</f>
        <v/>
      </c>
      <c r="AI17" s="553"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x14ac:dyDescent="0.25">
      <c r="A18" s="25"/>
      <c r="B18" s="268">
        <v>8</v>
      </c>
      <c r="C18" s="262"/>
      <c r="D18" s="816"/>
      <c r="E18" s="817"/>
      <c r="F18" s="759"/>
      <c r="G18" s="760"/>
      <c r="H18" s="761"/>
      <c r="I18" s="309"/>
      <c r="J18" s="310"/>
      <c r="K18" s="311"/>
      <c r="L18" s="305" t="str">
        <f t="shared" si="0"/>
        <v/>
      </c>
      <c r="M18" s="305" t="str">
        <f t="shared" si="1"/>
        <v/>
      </c>
      <c r="N18" s="360" t="str">
        <f t="shared" si="2"/>
        <v/>
      </c>
      <c r="O18" s="68"/>
      <c r="P18" s="3"/>
      <c r="Q18" s="25"/>
      <c r="R18" s="646"/>
      <c r="S18" s="25"/>
      <c r="T18" s="655" t="str">
        <f>IF(C18="","",VLOOKUP(D18,'9. All Habitats + Multipliers'!$C$4:$K$102,5,FALSE))</f>
        <v/>
      </c>
      <c r="U18" s="656"/>
      <c r="V18" s="94" t="str">
        <f>IF(T18="","",VLOOKUP(T18,'11. Lists'!$B$47:$D$49,2,FALSE))</f>
        <v/>
      </c>
      <c r="W18" s="188"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302" t="str">
        <f t="shared" si="3"/>
        <v/>
      </c>
      <c r="AF18" s="303" t="str">
        <f t="shared" si="4"/>
        <v/>
      </c>
      <c r="AG18" s="96" t="str">
        <f t="shared" si="5"/>
        <v/>
      </c>
      <c r="AH18" s="519" t="str">
        <f>IF(T18="","",VLOOKUP(T18,'11. Lists'!$B$47:$D$49,3,FALSE))</f>
        <v/>
      </c>
      <c r="AI18" s="553"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x14ac:dyDescent="0.25">
      <c r="A19" s="25"/>
      <c r="B19" s="268">
        <v>9</v>
      </c>
      <c r="C19" s="262"/>
      <c r="D19" s="816"/>
      <c r="E19" s="817"/>
      <c r="F19" s="759"/>
      <c r="G19" s="760"/>
      <c r="H19" s="761"/>
      <c r="I19" s="309"/>
      <c r="J19" s="310"/>
      <c r="K19" s="311"/>
      <c r="L19" s="305" t="str">
        <f t="shared" si="0"/>
        <v/>
      </c>
      <c r="M19" s="305" t="str">
        <f t="shared" si="1"/>
        <v/>
      </c>
      <c r="N19" s="360" t="str">
        <f t="shared" si="2"/>
        <v/>
      </c>
      <c r="O19" s="68"/>
      <c r="P19" s="3"/>
      <c r="Q19" s="25"/>
      <c r="R19" s="646"/>
      <c r="S19" s="25"/>
      <c r="T19" s="655" t="str">
        <f>IF(C19="","",VLOOKUP(D19,'9. All Habitats + Multipliers'!$C$4:$K$102,5,FALSE))</f>
        <v/>
      </c>
      <c r="U19" s="656"/>
      <c r="V19" s="94" t="str">
        <f>IF(T19="","",VLOOKUP(T19,'11. Lists'!$B$47:$D$49,2,FALSE))</f>
        <v/>
      </c>
      <c r="W19" s="188"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302" t="str">
        <f t="shared" si="3"/>
        <v/>
      </c>
      <c r="AF19" s="303" t="str">
        <f t="shared" si="4"/>
        <v/>
      </c>
      <c r="AG19" s="96" t="str">
        <f t="shared" si="5"/>
        <v/>
      </c>
      <c r="AH19" s="519" t="str">
        <f>IF(T19="","",VLOOKUP(T19,'11. Lists'!$B$47:$D$49,3,FALSE))</f>
        <v/>
      </c>
      <c r="AI19" s="553"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x14ac:dyDescent="0.25">
      <c r="A20" s="25"/>
      <c r="B20" s="268">
        <v>10</v>
      </c>
      <c r="C20" s="262"/>
      <c r="D20" s="816"/>
      <c r="E20" s="817"/>
      <c r="F20" s="759"/>
      <c r="G20" s="760"/>
      <c r="H20" s="761"/>
      <c r="I20" s="309"/>
      <c r="J20" s="310"/>
      <c r="K20" s="311"/>
      <c r="L20" s="305" t="str">
        <f t="shared" si="0"/>
        <v/>
      </c>
      <c r="M20" s="305" t="str">
        <f t="shared" si="1"/>
        <v/>
      </c>
      <c r="N20" s="360" t="str">
        <f t="shared" si="2"/>
        <v/>
      </c>
      <c r="O20" s="69"/>
      <c r="P20" s="8"/>
      <c r="Q20" s="25"/>
      <c r="R20" s="646"/>
      <c r="S20" s="25"/>
      <c r="T20" s="655" t="str">
        <f>IF(C20="","",VLOOKUP(D20,'9. All Habitats + Multipliers'!$C$4:$K$102,5,FALSE))</f>
        <v/>
      </c>
      <c r="U20" s="656"/>
      <c r="V20" s="94" t="str">
        <f>IF(T20="","",VLOOKUP(T20,'11. Lists'!$B$47:$D$49,2,FALSE))</f>
        <v/>
      </c>
      <c r="W20" s="188"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302" t="str">
        <f t="shared" si="3"/>
        <v/>
      </c>
      <c r="AF20" s="303" t="str">
        <f t="shared" si="4"/>
        <v/>
      </c>
      <c r="AG20" s="96" t="str">
        <f t="shared" si="5"/>
        <v/>
      </c>
      <c r="AH20" s="519" t="str">
        <f>IF(T20="","",VLOOKUP(T20,'11. Lists'!$B$47:$D$49,3,FALSE))</f>
        <v/>
      </c>
      <c r="AI20" s="553"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x14ac:dyDescent="0.25">
      <c r="A21" s="25"/>
      <c r="B21" s="268">
        <v>11</v>
      </c>
      <c r="C21" s="262"/>
      <c r="D21" s="816"/>
      <c r="E21" s="817"/>
      <c r="F21" s="759"/>
      <c r="G21" s="760"/>
      <c r="H21" s="761"/>
      <c r="I21" s="309"/>
      <c r="J21" s="310"/>
      <c r="K21" s="311"/>
      <c r="L21" s="305" t="str">
        <f t="shared" si="0"/>
        <v/>
      </c>
      <c r="M21" s="305" t="str">
        <f t="shared" si="1"/>
        <v/>
      </c>
      <c r="N21" s="360" t="str">
        <f t="shared" si="2"/>
        <v/>
      </c>
      <c r="O21" s="69"/>
      <c r="P21" s="8"/>
      <c r="Q21" s="25"/>
      <c r="R21" s="646"/>
      <c r="S21" s="25"/>
      <c r="T21" s="655" t="str">
        <f>IF(C21="","",VLOOKUP(D21,'9. All Habitats + Multipliers'!$C$4:$K$102,5,FALSE))</f>
        <v/>
      </c>
      <c r="U21" s="656"/>
      <c r="V21" s="94" t="str">
        <f>IF(T21="","",VLOOKUP(T21,'11. Lists'!$B$47:$D$49,2,FALSE))</f>
        <v/>
      </c>
      <c r="W21" s="188"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302" t="str">
        <f t="shared" si="3"/>
        <v/>
      </c>
      <c r="AF21" s="303" t="str">
        <f t="shared" si="4"/>
        <v/>
      </c>
      <c r="AG21" s="96" t="str">
        <f t="shared" si="5"/>
        <v/>
      </c>
      <c r="AH21" s="519" t="str">
        <f>IF(T21="","",VLOOKUP(T21,'11. Lists'!$B$47:$D$49,3,FALSE))</f>
        <v/>
      </c>
      <c r="AI21" s="553"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x14ac:dyDescent="0.25">
      <c r="A22" s="25"/>
      <c r="B22" s="268">
        <v>12</v>
      </c>
      <c r="C22" s="262"/>
      <c r="D22" s="816"/>
      <c r="E22" s="817"/>
      <c r="F22" s="759"/>
      <c r="G22" s="760"/>
      <c r="H22" s="761"/>
      <c r="I22" s="309"/>
      <c r="J22" s="310"/>
      <c r="K22" s="311"/>
      <c r="L22" s="305" t="str">
        <f t="shared" si="0"/>
        <v/>
      </c>
      <c r="M22" s="305" t="str">
        <f t="shared" si="1"/>
        <v/>
      </c>
      <c r="N22" s="360" t="str">
        <f t="shared" si="2"/>
        <v/>
      </c>
      <c r="O22" s="69"/>
      <c r="P22" s="8"/>
      <c r="Q22" s="25"/>
      <c r="R22" s="646"/>
      <c r="S22" s="25"/>
      <c r="T22" s="655" t="str">
        <f>IF(C22="","",VLOOKUP(D22,'9. All Habitats + Multipliers'!$C$4:$K$102,5,FALSE))</f>
        <v/>
      </c>
      <c r="U22" s="656"/>
      <c r="V22" s="94" t="str">
        <f>IF(T22="","",VLOOKUP(T22,'11. Lists'!$B$47:$D$49,2,FALSE))</f>
        <v/>
      </c>
      <c r="W22" s="188"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302" t="str">
        <f t="shared" si="3"/>
        <v/>
      </c>
      <c r="AF22" s="303" t="str">
        <f t="shared" si="4"/>
        <v/>
      </c>
      <c r="AG22" s="96" t="str">
        <f t="shared" si="5"/>
        <v/>
      </c>
      <c r="AH22" s="519" t="str">
        <f>IF(T22="","",VLOOKUP(T22,'11. Lists'!$B$47:$D$49,3,FALSE))</f>
        <v/>
      </c>
      <c r="AI22" s="553"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x14ac:dyDescent="0.25">
      <c r="A23" s="25"/>
      <c r="B23" s="268">
        <v>13</v>
      </c>
      <c r="C23" s="263"/>
      <c r="D23" s="816"/>
      <c r="E23" s="817"/>
      <c r="F23" s="759"/>
      <c r="G23" s="760"/>
      <c r="H23" s="761"/>
      <c r="I23" s="309"/>
      <c r="J23" s="310"/>
      <c r="K23" s="311"/>
      <c r="L23" s="305" t="str">
        <f t="shared" si="0"/>
        <v/>
      </c>
      <c r="M23" s="305" t="str">
        <f t="shared" si="1"/>
        <v/>
      </c>
      <c r="N23" s="360" t="str">
        <f t="shared" si="2"/>
        <v/>
      </c>
      <c r="O23" s="69"/>
      <c r="P23" s="8"/>
      <c r="Q23" s="25"/>
      <c r="R23" s="646"/>
      <c r="S23" s="25"/>
      <c r="T23" s="655" t="str">
        <f>IF(C23="","",VLOOKUP(D23,'9. All Habitats + Multipliers'!$C$4:$K$102,5,FALSE))</f>
        <v/>
      </c>
      <c r="U23" s="656"/>
      <c r="V23" s="94" t="str">
        <f>IF(T23="","",VLOOKUP(T23,'11. Lists'!$B$47:$D$49,2,FALSE))</f>
        <v/>
      </c>
      <c r="W23" s="188"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302" t="str">
        <f t="shared" si="3"/>
        <v/>
      </c>
      <c r="AF23" s="303" t="str">
        <f t="shared" si="4"/>
        <v/>
      </c>
      <c r="AG23" s="96" t="str">
        <f t="shared" si="5"/>
        <v/>
      </c>
      <c r="AH23" s="519" t="str">
        <f>IF(T23="","",VLOOKUP(T23,'11. Lists'!$B$47:$D$49,3,FALSE))</f>
        <v/>
      </c>
      <c r="AI23" s="553"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x14ac:dyDescent="0.25">
      <c r="A24" s="25"/>
      <c r="B24" s="268">
        <v>14</v>
      </c>
      <c r="C24" s="263"/>
      <c r="D24" s="816"/>
      <c r="E24" s="817"/>
      <c r="F24" s="759"/>
      <c r="G24" s="760"/>
      <c r="H24" s="761"/>
      <c r="I24" s="309"/>
      <c r="J24" s="310"/>
      <c r="K24" s="311"/>
      <c r="L24" s="305" t="str">
        <f t="shared" si="0"/>
        <v/>
      </c>
      <c r="M24" s="305" t="str">
        <f t="shared" si="1"/>
        <v/>
      </c>
      <c r="N24" s="360" t="str">
        <f t="shared" si="2"/>
        <v/>
      </c>
      <c r="O24" s="69"/>
      <c r="P24" s="8"/>
      <c r="Q24" s="25"/>
      <c r="R24" s="646"/>
      <c r="S24" s="25"/>
      <c r="T24" s="655" t="str">
        <f>IF(C24="","",VLOOKUP(D24,'9. All Habitats + Multipliers'!$C$4:$K$102,5,FALSE))</f>
        <v/>
      </c>
      <c r="U24" s="656"/>
      <c r="V24" s="94" t="str">
        <f>IF(T24="","",VLOOKUP(T24,'11. Lists'!$B$47:$D$49,2,FALSE))</f>
        <v/>
      </c>
      <c r="W24" s="188"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302" t="str">
        <f t="shared" si="3"/>
        <v/>
      </c>
      <c r="AF24" s="303" t="str">
        <f t="shared" si="4"/>
        <v/>
      </c>
      <c r="AG24" s="96" t="str">
        <f t="shared" si="5"/>
        <v/>
      </c>
      <c r="AH24" s="519" t="str">
        <f>IF(T24="","",VLOOKUP(T24,'11. Lists'!$B$47:$D$49,3,FALSE))</f>
        <v/>
      </c>
      <c r="AI24" s="553"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x14ac:dyDescent="0.25">
      <c r="A25" s="25"/>
      <c r="B25" s="268">
        <v>15</v>
      </c>
      <c r="C25" s="263"/>
      <c r="D25" s="816"/>
      <c r="E25" s="817"/>
      <c r="F25" s="759"/>
      <c r="G25" s="760"/>
      <c r="H25" s="761"/>
      <c r="I25" s="309"/>
      <c r="J25" s="310"/>
      <c r="K25" s="311"/>
      <c r="L25" s="305" t="str">
        <f t="shared" si="0"/>
        <v/>
      </c>
      <c r="M25" s="305" t="str">
        <f t="shared" si="1"/>
        <v/>
      </c>
      <c r="N25" s="360" t="str">
        <f t="shared" si="2"/>
        <v/>
      </c>
      <c r="O25" s="69"/>
      <c r="P25" s="8"/>
      <c r="Q25" s="25"/>
      <c r="R25" s="646"/>
      <c r="S25" s="25"/>
      <c r="T25" s="655" t="str">
        <f>IF(C25="","",VLOOKUP(D25,'9. All Habitats + Multipliers'!$C$4:$K$102,5,FALSE))</f>
        <v/>
      </c>
      <c r="U25" s="656"/>
      <c r="V25" s="94" t="str">
        <f>IF(T25="","",VLOOKUP(T25,'11. Lists'!$B$47:$D$49,2,FALSE))</f>
        <v/>
      </c>
      <c r="W25" s="188"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302" t="str">
        <f t="shared" si="3"/>
        <v/>
      </c>
      <c r="AF25" s="303" t="str">
        <f t="shared" si="4"/>
        <v/>
      </c>
      <c r="AG25" s="96" t="str">
        <f t="shared" si="5"/>
        <v/>
      </c>
      <c r="AH25" s="519" t="str">
        <f>IF(T25="","",VLOOKUP(T25,'11. Lists'!$B$47:$D$49,3,FALSE))</f>
        <v/>
      </c>
      <c r="AI25" s="553"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x14ac:dyDescent="0.25">
      <c r="A26" s="25"/>
      <c r="B26" s="268">
        <v>16</v>
      </c>
      <c r="C26" s="263"/>
      <c r="D26" s="816"/>
      <c r="E26" s="817"/>
      <c r="F26" s="759"/>
      <c r="G26" s="760"/>
      <c r="H26" s="761"/>
      <c r="I26" s="309"/>
      <c r="J26" s="310"/>
      <c r="K26" s="311"/>
      <c r="L26" s="305" t="str">
        <f t="shared" si="0"/>
        <v/>
      </c>
      <c r="M26" s="305" t="str">
        <f t="shared" si="1"/>
        <v/>
      </c>
      <c r="N26" s="360" t="str">
        <f t="shared" si="2"/>
        <v/>
      </c>
      <c r="O26" s="69"/>
      <c r="P26" s="8"/>
      <c r="Q26" s="25"/>
      <c r="R26" s="646"/>
      <c r="S26" s="25"/>
      <c r="T26" s="655" t="str">
        <f>IF(C26="","",VLOOKUP(D26,'9. All Habitats + Multipliers'!$C$4:$K$102,5,FALSE))</f>
        <v/>
      </c>
      <c r="U26" s="656"/>
      <c r="V26" s="94" t="str">
        <f>IF(T26="","",VLOOKUP(T26,'11. Lists'!$B$47:$D$49,2,FALSE))</f>
        <v/>
      </c>
      <c r="W26" s="188"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302" t="str">
        <f t="shared" si="3"/>
        <v/>
      </c>
      <c r="AF26" s="303" t="str">
        <f t="shared" si="4"/>
        <v/>
      </c>
      <c r="AG26" s="96" t="str">
        <f t="shared" si="5"/>
        <v/>
      </c>
      <c r="AH26" s="519" t="str">
        <f>IF(T26="","",VLOOKUP(T26,'11. Lists'!$B$47:$D$49,3,FALSE))</f>
        <v/>
      </c>
      <c r="AI26" s="553"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x14ac:dyDescent="0.25">
      <c r="A27" s="25"/>
      <c r="B27" s="268">
        <v>17</v>
      </c>
      <c r="C27" s="263"/>
      <c r="D27" s="816"/>
      <c r="E27" s="817"/>
      <c r="F27" s="759"/>
      <c r="G27" s="760"/>
      <c r="H27" s="761"/>
      <c r="I27" s="309"/>
      <c r="J27" s="310"/>
      <c r="K27" s="311"/>
      <c r="L27" s="305" t="str">
        <f t="shared" si="0"/>
        <v/>
      </c>
      <c r="M27" s="305" t="str">
        <f t="shared" si="1"/>
        <v/>
      </c>
      <c r="N27" s="360" t="str">
        <f t="shared" si="2"/>
        <v/>
      </c>
      <c r="O27" s="69"/>
      <c r="P27" s="8"/>
      <c r="Q27" s="25"/>
      <c r="R27" s="646"/>
      <c r="S27" s="25"/>
      <c r="T27" s="655" t="str">
        <f>IF(C27="","",VLOOKUP(D27,'9. All Habitats + Multipliers'!$C$4:$K$102,5,FALSE))</f>
        <v/>
      </c>
      <c r="U27" s="656"/>
      <c r="V27" s="94" t="str">
        <f>IF(T27="","",VLOOKUP(T27,'11. Lists'!$B$47:$D$49,2,FALSE))</f>
        <v/>
      </c>
      <c r="W27" s="188"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302" t="str">
        <f t="shared" si="3"/>
        <v/>
      </c>
      <c r="AF27" s="303" t="str">
        <f t="shared" si="4"/>
        <v/>
      </c>
      <c r="AG27" s="96" t="str">
        <f t="shared" si="5"/>
        <v/>
      </c>
      <c r="AH27" s="519" t="str">
        <f>IF(T27="","",VLOOKUP(T27,'11. Lists'!$B$47:$D$49,3,FALSE))</f>
        <v/>
      </c>
      <c r="AI27" s="553"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x14ac:dyDescent="0.25">
      <c r="A28" s="25"/>
      <c r="B28" s="268">
        <v>18</v>
      </c>
      <c r="C28" s="263"/>
      <c r="D28" s="816"/>
      <c r="E28" s="817"/>
      <c r="F28" s="759"/>
      <c r="G28" s="760"/>
      <c r="H28" s="761"/>
      <c r="I28" s="309"/>
      <c r="J28" s="310"/>
      <c r="K28" s="311"/>
      <c r="L28" s="305" t="str">
        <f t="shared" si="0"/>
        <v/>
      </c>
      <c r="M28" s="305" t="str">
        <f t="shared" si="1"/>
        <v/>
      </c>
      <c r="N28" s="360" t="str">
        <f t="shared" si="2"/>
        <v/>
      </c>
      <c r="O28" s="69"/>
      <c r="P28" s="8"/>
      <c r="Q28" s="25"/>
      <c r="R28" s="646"/>
      <c r="S28" s="25"/>
      <c r="T28" s="655" t="str">
        <f>IF(C28="","",VLOOKUP(D28,'9. All Habitats + Multipliers'!$C$4:$K$102,5,FALSE))</f>
        <v/>
      </c>
      <c r="U28" s="656"/>
      <c r="V28" s="94" t="str">
        <f>IF(T28="","",VLOOKUP(T28,'11. Lists'!$B$47:$D$49,2,FALSE))</f>
        <v/>
      </c>
      <c r="W28" s="188"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302" t="str">
        <f t="shared" si="3"/>
        <v/>
      </c>
      <c r="AF28" s="303" t="str">
        <f t="shared" si="4"/>
        <v/>
      </c>
      <c r="AG28" s="96" t="str">
        <f t="shared" si="5"/>
        <v/>
      </c>
      <c r="AH28" s="519" t="str">
        <f>IF(T28="","",VLOOKUP(T28,'11. Lists'!$B$47:$D$49,3,FALSE))</f>
        <v/>
      </c>
      <c r="AI28" s="553"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x14ac:dyDescent="0.25">
      <c r="A29" s="25"/>
      <c r="B29" s="268">
        <v>19</v>
      </c>
      <c r="C29" s="263"/>
      <c r="D29" s="816"/>
      <c r="E29" s="817"/>
      <c r="F29" s="759"/>
      <c r="G29" s="760"/>
      <c r="H29" s="761"/>
      <c r="I29" s="309"/>
      <c r="J29" s="310"/>
      <c r="K29" s="311"/>
      <c r="L29" s="305" t="str">
        <f t="shared" si="0"/>
        <v/>
      </c>
      <c r="M29" s="305" t="str">
        <f t="shared" si="1"/>
        <v/>
      </c>
      <c r="N29" s="360" t="str">
        <f t="shared" si="2"/>
        <v/>
      </c>
      <c r="O29" s="69"/>
      <c r="P29" s="8"/>
      <c r="Q29" s="25"/>
      <c r="R29" s="646"/>
      <c r="S29" s="25"/>
      <c r="T29" s="655" t="str">
        <f>IF(C29="","",VLOOKUP(D29,'9. All Habitats + Multipliers'!$C$4:$K$102,5,FALSE))</f>
        <v/>
      </c>
      <c r="U29" s="656"/>
      <c r="V29" s="94" t="str">
        <f>IF(T29="","",VLOOKUP(T29,'11. Lists'!$B$47:$D$49,2,FALSE))</f>
        <v/>
      </c>
      <c r="W29" s="188"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302" t="str">
        <f t="shared" si="3"/>
        <v/>
      </c>
      <c r="AF29" s="303" t="str">
        <f t="shared" si="4"/>
        <v/>
      </c>
      <c r="AG29" s="96" t="str">
        <f t="shared" si="5"/>
        <v/>
      </c>
      <c r="AH29" s="519" t="str">
        <f>IF(T29="","",VLOOKUP(T29,'11. Lists'!$B$47:$D$49,3,FALSE))</f>
        <v/>
      </c>
      <c r="AI29" s="553"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x14ac:dyDescent="0.3">
      <c r="A30" s="25"/>
      <c r="B30" s="269">
        <v>20</v>
      </c>
      <c r="C30" s="262"/>
      <c r="D30" s="825"/>
      <c r="E30" s="826"/>
      <c r="F30" s="759"/>
      <c r="G30" s="760"/>
      <c r="H30" s="761"/>
      <c r="I30" s="309"/>
      <c r="J30" s="310"/>
      <c r="K30" s="311"/>
      <c r="L30" s="418" t="str">
        <f t="shared" si="0"/>
        <v/>
      </c>
      <c r="M30" s="418" t="str">
        <f t="shared" si="1"/>
        <v/>
      </c>
      <c r="N30" s="419" t="str">
        <f t="shared" si="2"/>
        <v/>
      </c>
      <c r="O30" s="70"/>
      <c r="P30" s="4"/>
      <c r="Q30" s="25"/>
      <c r="R30" s="646"/>
      <c r="S30" s="25"/>
      <c r="T30" s="655" t="str">
        <f>IF(C30="","",VLOOKUP(D30,'9. All Habitats + Multipliers'!$C$4:$K$102,5,FALSE))</f>
        <v/>
      </c>
      <c r="U30" s="656"/>
      <c r="V30" s="94" t="str">
        <f>IF(T30="","",VLOOKUP(T30,'11. Lists'!$B$47:$D$49,2,FALSE))</f>
        <v/>
      </c>
      <c r="W30" s="188"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302" t="str">
        <f t="shared" si="3"/>
        <v/>
      </c>
      <c r="AF30" s="303" t="str">
        <f t="shared" si="4"/>
        <v/>
      </c>
      <c r="AG30" s="96" t="str">
        <f t="shared" si="5"/>
        <v/>
      </c>
      <c r="AH30" s="519" t="str">
        <f>IF(T30="","",VLOOKUP(T30,'11. Lists'!$B$47:$D$49,3,FALSE))</f>
        <v/>
      </c>
      <c r="AI30" s="553"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x14ac:dyDescent="0.3">
      <c r="A31" s="25"/>
      <c r="B31" s="269" t="s">
        <v>101</v>
      </c>
      <c r="C31" s="97" t="s">
        <v>102</v>
      </c>
      <c r="D31" s="824" t="s">
        <v>103</v>
      </c>
      <c r="E31" s="740"/>
      <c r="F31" s="774" t="s">
        <v>104</v>
      </c>
      <c r="G31" s="775"/>
      <c r="H31" s="776"/>
      <c r="I31" s="328">
        <f>I99</f>
        <v>0</v>
      </c>
      <c r="J31" s="329">
        <f>L99</f>
        <v>0</v>
      </c>
      <c r="K31" s="434"/>
      <c r="L31" s="413">
        <f>IF(C31="","",((I31/10000)*V31*X31)*AD31)</f>
        <v>0</v>
      </c>
      <c r="M31" s="420">
        <f>IF(C31="","",I31-J31-K31)</f>
        <v>0</v>
      </c>
      <c r="N31" s="421">
        <f>IF(C31="","",((M31/10000)*V31*X31)*AD31)</f>
        <v>0</v>
      </c>
      <c r="O31" s="13"/>
      <c r="P31" s="14"/>
      <c r="Q31" s="25"/>
      <c r="R31" s="646"/>
      <c r="S31" s="25"/>
      <c r="T31" s="657" t="str">
        <f>IF(C31="","",VLOOKUP(D31,'9. All Habitats + Multipliers'!$C$4:$K$102,5,FALSE))</f>
        <v>Medium</v>
      </c>
      <c r="U31" s="658"/>
      <c r="V31" s="99">
        <f>IF(T31="","",VLOOKUP(T31,'11. Lists'!$B$47:$D$49,2,FALSE))</f>
        <v>4</v>
      </c>
      <c r="W31" s="349"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52">
        <f>IF(D31="","",((J31/10000)*V31*X31)*(AD31))</f>
        <v>0</v>
      </c>
      <c r="AF31" s="101">
        <f>IF(D31="","",((K31/10000)*V31*X31)*(AD31))</f>
        <v>0</v>
      </c>
      <c r="AG31" s="102">
        <f t="shared" si="5"/>
        <v>0</v>
      </c>
      <c r="AH31" s="520" t="str">
        <f>IF(T31="","",VLOOKUP(T31,'11. Lists'!$B$47:$D$49,3,FALSE))</f>
        <v>Same broad habitat or a higher distinctiveness habitat required</v>
      </c>
      <c r="AI31" s="553"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x14ac:dyDescent="0.3">
      <c r="D32" s="89"/>
      <c r="E32" s="103"/>
      <c r="F32" s="103"/>
      <c r="G32" s="103"/>
      <c r="H32" s="507" t="s">
        <v>105</v>
      </c>
      <c r="I32" s="330">
        <f>SUMIFS(I11:I30,D11:D30,"&lt;&gt;"&amp;'11. Lists'!Q10,D11:D30,"&lt;&gt;"&amp;'11. Lists'!Q11,D11:D30,"&lt;&gt;"&amp;'11. Lists'!I4,D11:D30,"&lt;&gt;"&amp;'11. Lists'!I2,D11:D30,"&lt;&gt;"&amp;'11. Lists'!I3)</f>
        <v>334.9</v>
      </c>
      <c r="J32" s="331">
        <f>SUMIFS(J11:J30,D11:D30,"&lt;&gt;"&amp;'11. Lists'!Q10,D11:D30,"&lt;&gt;"&amp;'11. Lists'!Q11,D11:D30,"&lt;&gt;"&amp;'11. Lists'!I4,D11:D30,"&lt;&gt;"&amp;'11. Lists'!I2,D11:D30,"&lt;&gt;"&amp;'11. Lists'!I3)</f>
        <v>0</v>
      </c>
      <c r="K32" s="332">
        <f>SUMIFS(K11:K30,D11:D30,"&lt;&gt;"&amp;'11. Lists'!Q10,D11:D30,"&lt;&gt;"&amp;'11. Lists'!Q11,D11:D30,"&lt;&gt;"&amp;'11. Lists'!I4,D11:D30,"&lt;&gt;"&amp;'11. Lists'!I2,D11:D30,"&lt;&gt;"&amp;'11. Lists'!I3)</f>
        <v>0</v>
      </c>
      <c r="L32" s="283">
        <f>SUM(L11:L31)</f>
        <v>0.13396</v>
      </c>
      <c r="M32" s="323">
        <f>SUMIFS(M11:M30,D11:D30,"&lt;&gt;"&amp;'11. Lists'!Q10,D11:D30,"&lt;&gt;"&amp;'11. Lists'!Q11,D11:D30,"&lt;&gt;"&amp;'11. Lists'!I4,D11:D30,"&lt;&gt;"&amp;'11. Lists'!I2,D11:D30,"&lt;&gt;"&amp;'11. Lists'!I3)</f>
        <v>334.9</v>
      </c>
      <c r="N32" s="284">
        <f>SUM(N11:N31)</f>
        <v>0.13396</v>
      </c>
      <c r="R32" s="646"/>
    </row>
    <row r="33" spans="2:34" s="25" customFormat="1" x14ac:dyDescent="0.25">
      <c r="D33" s="89"/>
      <c r="E33" s="103"/>
      <c r="F33" s="103"/>
      <c r="G33" s="103"/>
      <c r="H33" s="285" t="s">
        <v>106</v>
      </c>
      <c r="I33" s="780"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0"/>
      <c r="K33" s="780"/>
      <c r="L33" s="780"/>
      <c r="M33" s="780"/>
      <c r="N33" s="781"/>
      <c r="O33" s="161">
        <f>IFERROR(FIND("Error",I33),0)</f>
        <v>0</v>
      </c>
      <c r="R33" s="104"/>
    </row>
    <row r="34" spans="2:34" s="25" customFormat="1" x14ac:dyDescent="0.25">
      <c r="D34" s="89"/>
      <c r="E34" s="103"/>
      <c r="F34" s="103"/>
      <c r="G34" s="103"/>
      <c r="H34" s="286" t="s">
        <v>107</v>
      </c>
      <c r="I34" s="782" t="str">
        <f>IF(I32&lt;J32+K32,"Error - Areas Retained and Enhanced Exceed Total Area ▲","Areas Acceptable ✓")</f>
        <v>Areas Acceptable ✓</v>
      </c>
      <c r="J34" s="782"/>
      <c r="K34" s="782"/>
      <c r="L34" s="782"/>
      <c r="M34" s="782"/>
      <c r="N34" s="783"/>
      <c r="O34" s="161">
        <f>IFERROR(FIND("Error",I34),0)</f>
        <v>0</v>
      </c>
      <c r="R34" s="104"/>
    </row>
    <row r="35" spans="2:34" s="25" customFormat="1" ht="15.75" thickBot="1" x14ac:dyDescent="0.3">
      <c r="D35" s="89"/>
      <c r="E35" s="103"/>
      <c r="F35" s="103"/>
      <c r="G35" s="103"/>
      <c r="H35" s="276" t="s">
        <v>108</v>
      </c>
      <c r="I35" s="757" t="str">
        <f>IF(I32=0,"Areas Acceptable ✓",IF(I32&lt;&gt;'3. Desktop Assessment'!C7,"Error - Areas Entered Does Not Match Stated Site Area ▲","Areas Acceptable ✓"))</f>
        <v>Areas Acceptable ✓</v>
      </c>
      <c r="J35" s="757"/>
      <c r="K35" s="757"/>
      <c r="L35" s="757"/>
      <c r="M35" s="757"/>
      <c r="N35" s="758"/>
      <c r="O35" s="161">
        <f>IFERROR(FIND("Error",I35),0)</f>
        <v>0</v>
      </c>
      <c r="R35" s="646" t="s">
        <v>64</v>
      </c>
    </row>
    <row r="36" spans="2:34" s="25" customFormat="1" ht="21" x14ac:dyDescent="0.35">
      <c r="B36" s="57" t="s">
        <v>109</v>
      </c>
      <c r="D36" s="88"/>
      <c r="E36" s="103"/>
      <c r="F36" s="103"/>
      <c r="G36" s="103"/>
      <c r="I36" s="26"/>
      <c r="O36" s="161">
        <f>COUNTIF(L11:N30,"*"&amp;"error"&amp;"*")</f>
        <v>0</v>
      </c>
      <c r="R36" s="646"/>
    </row>
    <row r="37" spans="2:34" s="25" customFormat="1" ht="15.75" customHeight="1" thickBot="1" x14ac:dyDescent="0.3">
      <c r="R37" s="646"/>
    </row>
    <row r="38" spans="2:34" s="25" customFormat="1" ht="16.149999999999999" customHeight="1" x14ac:dyDescent="0.25">
      <c r="B38" s="728" t="s">
        <v>58</v>
      </c>
      <c r="C38" s="718"/>
      <c r="D38" s="731"/>
      <c r="E38" s="717" t="s">
        <v>110</v>
      </c>
      <c r="F38" s="777"/>
      <c r="G38" s="719"/>
      <c r="H38" s="777" t="s">
        <v>111</v>
      </c>
      <c r="I38" s="749" t="s">
        <v>112</v>
      </c>
      <c r="J38" s="750"/>
      <c r="K38" s="751"/>
      <c r="L38" s="762" t="s">
        <v>113</v>
      </c>
      <c r="M38" s="718"/>
      <c r="N38" s="731"/>
      <c r="O38" s="717" t="s">
        <v>77</v>
      </c>
      <c r="P38" s="719"/>
      <c r="R38" s="646"/>
      <c r="T38" s="674" t="s">
        <v>78</v>
      </c>
      <c r="U38" s="675"/>
      <c r="V38" s="676"/>
      <c r="W38" s="755" t="s">
        <v>79</v>
      </c>
      <c r="X38" s="676"/>
      <c r="Y38" s="756"/>
      <c r="Z38" s="756"/>
      <c r="AA38" s="756"/>
      <c r="AB38" s="674" t="s">
        <v>80</v>
      </c>
      <c r="AC38" s="675"/>
      <c r="AD38" s="676"/>
      <c r="AE38" s="674" t="s">
        <v>114</v>
      </c>
      <c r="AF38" s="676"/>
      <c r="AG38" s="674" t="s">
        <v>115</v>
      </c>
      <c r="AH38" s="676"/>
    </row>
    <row r="39" spans="2:34" s="25" customFormat="1" ht="32.25" thickBot="1" x14ac:dyDescent="0.3">
      <c r="B39" s="729"/>
      <c r="C39" s="201" t="s">
        <v>84</v>
      </c>
      <c r="D39" s="202" t="s">
        <v>116</v>
      </c>
      <c r="E39" s="86" t="s">
        <v>117</v>
      </c>
      <c r="F39" s="715" t="s">
        <v>118</v>
      </c>
      <c r="G39" s="716"/>
      <c r="H39" s="778"/>
      <c r="I39" s="752"/>
      <c r="J39" s="753"/>
      <c r="K39" s="754"/>
      <c r="L39" s="763"/>
      <c r="M39" s="764"/>
      <c r="N39" s="715"/>
      <c r="O39" s="86" t="s">
        <v>92</v>
      </c>
      <c r="P39" s="90" t="s">
        <v>93</v>
      </c>
      <c r="R39" s="646"/>
      <c r="T39" s="672" t="s">
        <v>94</v>
      </c>
      <c r="U39" s="673"/>
      <c r="V39" s="92" t="s">
        <v>95</v>
      </c>
      <c r="W39" s="338" t="s">
        <v>96</v>
      </c>
      <c r="X39" s="92" t="s">
        <v>95</v>
      </c>
      <c r="Y39" s="350"/>
      <c r="Z39" s="350"/>
      <c r="AA39" s="350"/>
      <c r="AB39" s="91" t="s">
        <v>80</v>
      </c>
      <c r="AC39" s="49" t="s">
        <v>80</v>
      </c>
      <c r="AD39" s="92" t="s">
        <v>97</v>
      </c>
      <c r="AE39" s="91" t="s">
        <v>119</v>
      </c>
      <c r="AF39" s="92" t="s">
        <v>120</v>
      </c>
      <c r="AG39" s="91" t="s">
        <v>121</v>
      </c>
      <c r="AH39" s="92" t="s">
        <v>122</v>
      </c>
    </row>
    <row r="40" spans="2:34" s="25" customFormat="1" ht="30" x14ac:dyDescent="0.25">
      <c r="B40" s="267">
        <v>1</v>
      </c>
      <c r="C40" s="76" t="s">
        <v>221</v>
      </c>
      <c r="D40" s="73" t="s">
        <v>358</v>
      </c>
      <c r="E40" s="346" t="str">
        <f>IF(D40="","",VLOOKUP(D40,'10. Condition and Temporal'!$B$6:$D$103,3,FALSE))</f>
        <v>Condition Assessment N/A</v>
      </c>
      <c r="F40" s="818" t="s">
        <v>398</v>
      </c>
      <c r="G40" s="819"/>
      <c r="H40" s="72" t="s">
        <v>124</v>
      </c>
      <c r="I40" s="710">
        <v>173</v>
      </c>
      <c r="J40" s="711"/>
      <c r="K40" s="712"/>
      <c r="L40" s="703">
        <f>IF(C40="","",IFERROR(IF(I40="","",((I40/10000)*(V40*X40))*(AH40*AF40)*AD40),"This intervention is not permitted within the SSM ▲"))</f>
        <v>3.3388999999999995E-2</v>
      </c>
      <c r="M40" s="680"/>
      <c r="N40" s="704"/>
      <c r="O40" s="2" t="s">
        <v>1043</v>
      </c>
      <c r="P40" s="1"/>
      <c r="Q40" s="106"/>
      <c r="R40" s="646"/>
      <c r="T40" s="655" t="str">
        <f>IF(C40="","",VLOOKUP(D40,'9. All Habitats + Multipliers'!$C$4:$K$102,5,FALSE))</f>
        <v>Low</v>
      </c>
      <c r="U40" s="656"/>
      <c r="V40" s="94">
        <f>IF(T40="","",VLOOKUP(T40,'11. Lists'!$B$47:$D$49,2,FALSE))</f>
        <v>2</v>
      </c>
      <c r="W40" s="188" t="str">
        <f>IF(F40="","",F40)</f>
        <v>Condition Assessment N/A</v>
      </c>
      <c r="X40" s="94">
        <f>IF(W40="","",VLOOKUP(W40,'11. Lists'!$F$47:$G$51,2,FALSE))</f>
        <v>1</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1</v>
      </c>
      <c r="AF40" s="107">
        <f>IF(AE40="","",VLOOKUP(AE40,'11. Lists'!$I$47:$K$80,3,FALSE))</f>
        <v>0.96499999999999997</v>
      </c>
      <c r="AG40" s="93" t="str">
        <f>IF(D40="","",VLOOKUP(D40,'9. All Habitats + Multipliers'!$C$4:$K$102,7,FALSE))</f>
        <v>Low</v>
      </c>
      <c r="AH40" s="94">
        <f>IF(AG40="","",VLOOKUP(AG40,'11. Lists'!$J$35:$K$38,2,FALSE))</f>
        <v>1</v>
      </c>
    </row>
    <row r="41" spans="2:34" s="25" customFormat="1" ht="30" x14ac:dyDescent="0.25">
      <c r="B41" s="268">
        <v>2</v>
      </c>
      <c r="C41" s="77" t="s">
        <v>221</v>
      </c>
      <c r="D41" s="73" t="s">
        <v>346</v>
      </c>
      <c r="E41" s="346" t="str">
        <f>IF(D41="","",VLOOKUP(D41,'10. Condition and Temporal'!$B$6:$D$103,3,FALSE))</f>
        <v>N/A - Other</v>
      </c>
      <c r="F41" s="701" t="s">
        <v>399</v>
      </c>
      <c r="G41" s="702"/>
      <c r="H41" s="71" t="s">
        <v>124</v>
      </c>
      <c r="I41" s="710">
        <v>104.8</v>
      </c>
      <c r="J41" s="711"/>
      <c r="K41" s="712"/>
      <c r="L41" s="703">
        <f t="shared" ref="L41:L59" si="7">IF(C41="","",IFERROR(IF(I41="","",((I41/10000)*(V41*X41))*(AH41*AF41)*AD41),"This intervention is not permitted within the SSM ▲"))</f>
        <v>0</v>
      </c>
      <c r="M41" s="680"/>
      <c r="N41" s="704"/>
      <c r="O41" s="61" t="s">
        <v>1042</v>
      </c>
      <c r="P41" s="12"/>
      <c r="Q41" s="106"/>
      <c r="R41" s="646"/>
      <c r="T41" s="655" t="str">
        <f>IF(C41="","",VLOOKUP(D41,'9. All Habitats + Multipliers'!$C$4:$K$102,5,FALSE))</f>
        <v>V.Low</v>
      </c>
      <c r="U41" s="656"/>
      <c r="V41" s="94">
        <f>IF(T41="","",VLOOKUP(T41,'11. Lists'!$B$47:$D$49,2,FALSE))</f>
        <v>0</v>
      </c>
      <c r="W41" s="188" t="str">
        <f>IF(F41="","",F41)</f>
        <v>N/A - Other</v>
      </c>
      <c r="X41" s="94">
        <f>IF(W41="","",VLOOKUP(W41,'11. Lists'!$F$47:$G$51,2,FALSE))</f>
        <v>0</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0</v>
      </c>
      <c r="AF41" s="107">
        <f>IF(AE41="","",VLOOKUP(AE41,'11. Lists'!$I$47:$K$80,3,FALSE))</f>
        <v>1</v>
      </c>
      <c r="AG41" s="93" t="str">
        <f>IF(D41="","",VLOOKUP(D41,'9. All Habitats + Multipliers'!$C$4:$K$102,7,FALSE))</f>
        <v>Low</v>
      </c>
      <c r="AH41" s="94">
        <f>IF(AG41="","",VLOOKUP(AG41,'11. Lists'!$J$35:$K$38,2,FALSE))</f>
        <v>1</v>
      </c>
    </row>
    <row r="42" spans="2:34" s="25" customFormat="1" ht="30" x14ac:dyDescent="0.25">
      <c r="B42" s="268">
        <v>3</v>
      </c>
      <c r="C42" s="77" t="s">
        <v>221</v>
      </c>
      <c r="D42" s="73" t="s">
        <v>339</v>
      </c>
      <c r="E42" s="346" t="str">
        <f>IF(D42="","",VLOOKUP(D42,'10. Condition and Temporal'!$B$6:$D$103,3,FALSE))</f>
        <v>N/A - Other</v>
      </c>
      <c r="F42" s="701" t="s">
        <v>399</v>
      </c>
      <c r="G42" s="702"/>
      <c r="H42" s="71" t="s">
        <v>124</v>
      </c>
      <c r="I42" s="710">
        <v>52.9</v>
      </c>
      <c r="J42" s="711"/>
      <c r="K42" s="712"/>
      <c r="L42" s="703">
        <f t="shared" si="7"/>
        <v>0</v>
      </c>
      <c r="M42" s="680"/>
      <c r="N42" s="704"/>
      <c r="O42" s="61" t="s">
        <v>1044</v>
      </c>
      <c r="P42" s="12"/>
      <c r="Q42" s="106"/>
      <c r="R42" s="646"/>
      <c r="T42" s="655" t="str">
        <f>IF(C42="","",VLOOKUP(D42,'9. All Habitats + Multipliers'!$C$4:$K$102,5,FALSE))</f>
        <v>V.Low</v>
      </c>
      <c r="U42" s="656"/>
      <c r="V42" s="94">
        <f>IF(T42="","",VLOOKUP(T42,'11. Lists'!$B$47:$D$49,2,FALSE))</f>
        <v>0</v>
      </c>
      <c r="W42" s="188" t="str">
        <f>IF(F42="","",F42)</f>
        <v>N/A - Other</v>
      </c>
      <c r="X42" s="94">
        <f>IF(W42="","",VLOOKUP(W42,'11. Lists'!$F$47:$G$51,2,FALSE))</f>
        <v>0</v>
      </c>
      <c r="Y42" s="48"/>
      <c r="Z42" s="48"/>
      <c r="AA42" s="48"/>
      <c r="AB42" s="93" t="str">
        <f t="shared" si="8"/>
        <v>Area/compensation not in local strategy/ no local strategy</v>
      </c>
      <c r="AC42" s="95" t="str">
        <f>IF(AB42="","",VLOOKUP(AB42,'11. Lists'!$F$36:$H$38,2,FALSE))</f>
        <v>Low Strategic Significance</v>
      </c>
      <c r="AD42" s="94">
        <f>IF(AB42="","",VLOOKUP(AB42,'11. Lists'!$F$36:$H$38,3,FALSE))</f>
        <v>1</v>
      </c>
      <c r="AE42" s="93">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0</v>
      </c>
      <c r="AF42" s="107">
        <f>IF(AE42="","",VLOOKUP(AE42,'11. Lists'!$I$47:$K$80,3,FALSE))</f>
        <v>1</v>
      </c>
      <c r="AG42" s="93" t="str">
        <f>IF(D42="","",VLOOKUP(D42,'9. All Habitats + Multipliers'!$C$4:$K$102,7,FALSE))</f>
        <v>Low</v>
      </c>
      <c r="AH42" s="94">
        <f>IF(AG42="","",VLOOKUP(AG42,'11. Lists'!$J$35:$K$38,2,FALSE))</f>
        <v>1</v>
      </c>
    </row>
    <row r="43" spans="2:34" s="25" customFormat="1" ht="30" x14ac:dyDescent="0.25">
      <c r="B43" s="268">
        <v>4</v>
      </c>
      <c r="C43" s="77" t="s">
        <v>221</v>
      </c>
      <c r="D43" s="73" t="s">
        <v>351</v>
      </c>
      <c r="E43" s="346" t="str">
        <f>IF(D43="","",VLOOKUP(D43,'10. Condition and Temporal'!$B$6:$D$103,3,FALSE))</f>
        <v>Condition Assessment N/A</v>
      </c>
      <c r="F43" s="701" t="s">
        <v>398</v>
      </c>
      <c r="G43" s="702"/>
      <c r="H43" s="71" t="s">
        <v>124</v>
      </c>
      <c r="I43" s="710">
        <v>4.2</v>
      </c>
      <c r="J43" s="711"/>
      <c r="K43" s="712"/>
      <c r="L43" s="703">
        <f t="shared" si="7"/>
        <v>8.1059999999999997E-4</v>
      </c>
      <c r="M43" s="680"/>
      <c r="N43" s="704"/>
      <c r="O43" s="61" t="s">
        <v>1041</v>
      </c>
      <c r="P43" s="12"/>
      <c r="Q43" s="106"/>
      <c r="R43" s="646"/>
      <c r="T43" s="655" t="str">
        <f>IF(C43="","",VLOOKUP(D43,'9. All Habitats + Multipliers'!$C$4:$K$102,5,FALSE))</f>
        <v>Low</v>
      </c>
      <c r="U43" s="656"/>
      <c r="V43" s="94">
        <f>IF(T43="","",VLOOKUP(T43,'11. Lists'!$B$47:$D$49,2,FALSE))</f>
        <v>2</v>
      </c>
      <c r="W43" s="188" t="str">
        <f>IF(F43="","",F43)</f>
        <v>Condition Assessment N/A</v>
      </c>
      <c r="X43" s="94">
        <f>IF(W43="","",VLOOKUP(W43,'11. Lists'!$F$47:$G$51,2,FALSE))</f>
        <v>1</v>
      </c>
      <c r="Y43" s="48"/>
      <c r="Z43" s="48"/>
      <c r="AA43" s="48"/>
      <c r="AB43" s="93" t="str">
        <f t="shared" si="8"/>
        <v>Area/compensation not in local strategy/ no local strategy</v>
      </c>
      <c r="AC43" s="95" t="str">
        <f>IF(AB43="","",VLOOKUP(AB43,'11. Lists'!$F$36:$H$38,2,FALSE))</f>
        <v>Low Strategic Significance</v>
      </c>
      <c r="AD43" s="94">
        <f>IF(AB43="","",VLOOKUP(AB43,'11. Lists'!$F$36:$H$38,3,FALSE))</f>
        <v>1</v>
      </c>
      <c r="AE43" s="93">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1</v>
      </c>
      <c r="AF43" s="107">
        <f>IF(AE43="","",VLOOKUP(AE43,'11. Lists'!$I$47:$K$80,3,FALSE))</f>
        <v>0.96499999999999997</v>
      </c>
      <c r="AG43" s="93" t="str">
        <f>IF(D43="","",VLOOKUP(D43,'9. All Habitats + Multipliers'!$C$4:$K$102,7,FALSE))</f>
        <v>Low</v>
      </c>
      <c r="AH43" s="94">
        <f>IF(AG43="","",VLOOKUP(AG43,'11. Lists'!$J$35:$K$38,2,FALSE))</f>
        <v>1</v>
      </c>
    </row>
    <row r="44" spans="2:34" s="25" customFormat="1" ht="15.75" x14ac:dyDescent="0.25">
      <c r="B44" s="268">
        <v>5</v>
      </c>
      <c r="C44" s="77"/>
      <c r="D44" s="73"/>
      <c r="E44" s="346" t="str">
        <f>IF(D44="","",VLOOKUP(D44,'10. Condition and Temporal'!$B$6:$D$103,3,FALSE))</f>
        <v/>
      </c>
      <c r="F44" s="701"/>
      <c r="G44" s="702"/>
      <c r="H44" s="71"/>
      <c r="I44" s="710"/>
      <c r="J44" s="711"/>
      <c r="K44" s="712"/>
      <c r="L44" s="703" t="str">
        <f t="shared" si="7"/>
        <v/>
      </c>
      <c r="M44" s="680"/>
      <c r="N44" s="704"/>
      <c r="O44" s="61"/>
      <c r="P44" s="12"/>
      <c r="R44" s="646"/>
      <c r="T44" s="655" t="str">
        <f>IF(C44="","",VLOOKUP(D44,'9. All Habitats + Multipliers'!$C$4:$K$102,5,FALSE))</f>
        <v/>
      </c>
      <c r="U44" s="656"/>
      <c r="V44" s="94" t="str">
        <f>IF(T44="","",VLOOKUP(T44,'11. Lists'!$B$47:$D$49,2,FALSE))</f>
        <v/>
      </c>
      <c r="W44" s="188"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x14ac:dyDescent="0.25">
      <c r="B45" s="268">
        <v>6</v>
      </c>
      <c r="C45" s="77"/>
      <c r="D45" s="73"/>
      <c r="E45" s="346" t="str">
        <f>IF(D45="","",VLOOKUP(D45,'10. Condition and Temporal'!$B$6:$D$103,3,FALSE))</f>
        <v/>
      </c>
      <c r="F45" s="701"/>
      <c r="G45" s="702"/>
      <c r="H45" s="71"/>
      <c r="I45" s="710"/>
      <c r="J45" s="711"/>
      <c r="K45" s="712"/>
      <c r="L45" s="703" t="str">
        <f t="shared" si="7"/>
        <v/>
      </c>
      <c r="M45" s="680"/>
      <c r="N45" s="704"/>
      <c r="O45" s="61"/>
      <c r="P45" s="12"/>
      <c r="R45" s="646"/>
      <c r="T45" s="655" t="str">
        <f>IF(C45="","",VLOOKUP(D45,'9. All Habitats + Multipliers'!$C$4:$K$102,5,FALSE))</f>
        <v/>
      </c>
      <c r="U45" s="656"/>
      <c r="V45" s="94" t="str">
        <f>IF(T45="","",VLOOKUP(T45,'11. Lists'!$B$47:$D$49,2,FALSE))</f>
        <v/>
      </c>
      <c r="W45" s="188"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x14ac:dyDescent="0.25">
      <c r="B46" s="268">
        <v>7</v>
      </c>
      <c r="C46" s="77"/>
      <c r="D46" s="73"/>
      <c r="E46" s="346" t="str">
        <f>IF(D46="","",VLOOKUP(D46,'10. Condition and Temporal'!$B$6:$D$103,3,FALSE))</f>
        <v/>
      </c>
      <c r="F46" s="701"/>
      <c r="G46" s="702"/>
      <c r="H46" s="71"/>
      <c r="I46" s="710"/>
      <c r="J46" s="711"/>
      <c r="K46" s="712"/>
      <c r="L46" s="703" t="str">
        <f t="shared" si="7"/>
        <v/>
      </c>
      <c r="M46" s="680"/>
      <c r="N46" s="704"/>
      <c r="O46" s="61"/>
      <c r="P46" s="12"/>
      <c r="R46" s="646"/>
      <c r="T46" s="655" t="str">
        <f>IF(C46="","",VLOOKUP(D46,'9. All Habitats + Multipliers'!$C$4:$K$102,5,FALSE))</f>
        <v/>
      </c>
      <c r="U46" s="656"/>
      <c r="V46" s="94" t="str">
        <f>IF(T46="","",VLOOKUP(T46,'11. Lists'!$B$47:$D$49,2,FALSE))</f>
        <v/>
      </c>
      <c r="W46" s="188"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x14ac:dyDescent="0.25">
      <c r="B47" s="268">
        <v>8</v>
      </c>
      <c r="C47" s="77"/>
      <c r="D47" s="73"/>
      <c r="E47" s="346" t="str">
        <f>IF(D47="","",VLOOKUP(D47,'10. Condition and Temporal'!$B$6:$D$103,3,FALSE))</f>
        <v/>
      </c>
      <c r="F47" s="701"/>
      <c r="G47" s="702"/>
      <c r="H47" s="71"/>
      <c r="I47" s="710"/>
      <c r="J47" s="711"/>
      <c r="K47" s="712"/>
      <c r="L47" s="703" t="str">
        <f t="shared" si="7"/>
        <v/>
      </c>
      <c r="M47" s="680"/>
      <c r="N47" s="704"/>
      <c r="O47" s="61"/>
      <c r="P47" s="12"/>
      <c r="R47" s="646"/>
      <c r="T47" s="655" t="str">
        <f>IF(C47="","",VLOOKUP(D47,'9. All Habitats + Multipliers'!$C$4:$K$102,5,FALSE))</f>
        <v/>
      </c>
      <c r="U47" s="656"/>
      <c r="V47" s="94" t="str">
        <f>IF(T47="","",VLOOKUP(T47,'11. Lists'!$B$47:$D$49,2,FALSE))</f>
        <v/>
      </c>
      <c r="W47" s="188"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x14ac:dyDescent="0.25">
      <c r="B48" s="268">
        <v>9</v>
      </c>
      <c r="C48" s="77"/>
      <c r="D48" s="73"/>
      <c r="E48" s="346" t="str">
        <f>IF(D48="","",VLOOKUP(D48,'10. Condition and Temporal'!$B$6:$D$103,3,FALSE))</f>
        <v/>
      </c>
      <c r="F48" s="701"/>
      <c r="G48" s="702"/>
      <c r="H48" s="71"/>
      <c r="I48" s="710"/>
      <c r="J48" s="711"/>
      <c r="K48" s="712"/>
      <c r="L48" s="703" t="str">
        <f t="shared" si="7"/>
        <v/>
      </c>
      <c r="M48" s="680"/>
      <c r="N48" s="704"/>
      <c r="O48" s="61"/>
      <c r="P48" s="12"/>
      <c r="R48" s="646"/>
      <c r="T48" s="655" t="str">
        <f>IF(C48="","",VLOOKUP(D48,'9. All Habitats + Multipliers'!$C$4:$K$102,5,FALSE))</f>
        <v/>
      </c>
      <c r="U48" s="656"/>
      <c r="V48" s="94" t="str">
        <f>IF(T48="","",VLOOKUP(T48,'11. Lists'!$B$47:$D$49,2,FALSE))</f>
        <v/>
      </c>
      <c r="W48" s="188"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x14ac:dyDescent="0.25">
      <c r="B49" s="268">
        <v>10</v>
      </c>
      <c r="C49" s="78"/>
      <c r="D49" s="73"/>
      <c r="E49" s="346" t="str">
        <f>IF(D49="","",VLOOKUP(D49,'10. Condition and Temporal'!$B$6:$D$103,3,FALSE))</f>
        <v/>
      </c>
      <c r="F49" s="701"/>
      <c r="G49" s="702"/>
      <c r="H49" s="71"/>
      <c r="I49" s="710"/>
      <c r="J49" s="711"/>
      <c r="K49" s="712"/>
      <c r="L49" s="703" t="str">
        <f t="shared" si="7"/>
        <v/>
      </c>
      <c r="M49" s="680"/>
      <c r="N49" s="704"/>
      <c r="O49" s="61"/>
      <c r="P49" s="12"/>
      <c r="R49" s="646"/>
      <c r="T49" s="655" t="str">
        <f>IF(C49="","",VLOOKUP(D49,'9. All Habitats + Multipliers'!$C$4:$K$102,5,FALSE))</f>
        <v/>
      </c>
      <c r="U49" s="656"/>
      <c r="V49" s="94" t="str">
        <f>IF(T49="","",VLOOKUP(T49,'11. Lists'!$B$47:$D$49,2,FALSE))</f>
        <v/>
      </c>
      <c r="W49" s="188"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x14ac:dyDescent="0.25">
      <c r="B50" s="268">
        <v>11</v>
      </c>
      <c r="C50" s="78"/>
      <c r="D50" s="73"/>
      <c r="E50" s="346" t="str">
        <f>IF(D50="","",VLOOKUP(D50,'10. Condition and Temporal'!$B$6:$D$103,3,FALSE))</f>
        <v/>
      </c>
      <c r="F50" s="701"/>
      <c r="G50" s="702"/>
      <c r="H50" s="71"/>
      <c r="I50" s="710"/>
      <c r="J50" s="711"/>
      <c r="K50" s="712"/>
      <c r="L50" s="703" t="str">
        <f t="shared" si="7"/>
        <v/>
      </c>
      <c r="M50" s="680"/>
      <c r="N50" s="704"/>
      <c r="O50" s="61"/>
      <c r="P50" s="12"/>
      <c r="R50" s="646"/>
      <c r="T50" s="655" t="str">
        <f>IF(C50="","",VLOOKUP(D50,'9. All Habitats + Multipliers'!$C$4:$K$102,5,FALSE))</f>
        <v/>
      </c>
      <c r="U50" s="656"/>
      <c r="V50" s="94" t="str">
        <f>IF(T50="","",VLOOKUP(T50,'11. Lists'!$B$47:$D$49,2,FALSE))</f>
        <v/>
      </c>
      <c r="W50" s="188"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x14ac:dyDescent="0.25">
      <c r="B51" s="268">
        <v>12</v>
      </c>
      <c r="C51" s="78"/>
      <c r="D51" s="73"/>
      <c r="E51" s="346" t="str">
        <f>IF(D51="","",VLOOKUP(D51,'10. Condition and Temporal'!$B$6:$D$103,3,FALSE))</f>
        <v/>
      </c>
      <c r="F51" s="701"/>
      <c r="G51" s="702"/>
      <c r="H51" s="71"/>
      <c r="I51" s="710"/>
      <c r="J51" s="711"/>
      <c r="K51" s="712"/>
      <c r="L51" s="703" t="str">
        <f t="shared" si="7"/>
        <v/>
      </c>
      <c r="M51" s="680"/>
      <c r="N51" s="704"/>
      <c r="O51" s="61"/>
      <c r="P51" s="12"/>
      <c r="R51" s="646"/>
      <c r="T51" s="655" t="str">
        <f>IF(C51="","",VLOOKUP(D51,'9. All Habitats + Multipliers'!$C$4:$K$102,5,FALSE))</f>
        <v/>
      </c>
      <c r="U51" s="656"/>
      <c r="V51" s="94" t="str">
        <f>IF(T51="","",VLOOKUP(T51,'11. Lists'!$B$47:$D$49,2,FALSE))</f>
        <v/>
      </c>
      <c r="W51" s="188"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x14ac:dyDescent="0.25">
      <c r="B52" s="268">
        <v>13</v>
      </c>
      <c r="C52" s="78"/>
      <c r="D52" s="73"/>
      <c r="E52" s="346" t="str">
        <f>IF(D52="","",VLOOKUP(D52,'10. Condition and Temporal'!$B$6:$D$103,3,FALSE))</f>
        <v/>
      </c>
      <c r="F52" s="701"/>
      <c r="G52" s="702"/>
      <c r="H52" s="71"/>
      <c r="I52" s="710"/>
      <c r="J52" s="711"/>
      <c r="K52" s="712"/>
      <c r="L52" s="703" t="str">
        <f t="shared" si="7"/>
        <v/>
      </c>
      <c r="M52" s="680"/>
      <c r="N52" s="704"/>
      <c r="O52" s="61"/>
      <c r="P52" s="12"/>
      <c r="R52" s="646"/>
      <c r="T52" s="655" t="str">
        <f>IF(C52="","",VLOOKUP(D52,'9. All Habitats + Multipliers'!$C$4:$K$102,5,FALSE))</f>
        <v/>
      </c>
      <c r="U52" s="656"/>
      <c r="V52" s="94" t="str">
        <f>IF(T52="","",VLOOKUP(T52,'11. Lists'!$B$47:$D$49,2,FALSE))</f>
        <v/>
      </c>
      <c r="W52" s="188"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x14ac:dyDescent="0.25">
      <c r="B53" s="268">
        <v>14</v>
      </c>
      <c r="C53" s="78"/>
      <c r="D53" s="73"/>
      <c r="E53" s="346" t="str">
        <f>IF(D53="","",VLOOKUP(D53,'10. Condition and Temporal'!$B$6:$D$103,3,FALSE))</f>
        <v/>
      </c>
      <c r="F53" s="701"/>
      <c r="G53" s="702"/>
      <c r="H53" s="71"/>
      <c r="I53" s="710"/>
      <c r="J53" s="711"/>
      <c r="K53" s="712"/>
      <c r="L53" s="703" t="str">
        <f t="shared" si="7"/>
        <v/>
      </c>
      <c r="M53" s="680"/>
      <c r="N53" s="704"/>
      <c r="O53" s="61"/>
      <c r="P53" s="12"/>
      <c r="R53" s="646"/>
      <c r="T53" s="655" t="str">
        <f>IF(C53="","",VLOOKUP(D53,'9. All Habitats + Multipliers'!$C$4:$K$102,5,FALSE))</f>
        <v/>
      </c>
      <c r="U53" s="656"/>
      <c r="V53" s="94" t="str">
        <f>IF(T53="","",VLOOKUP(T53,'11. Lists'!$B$47:$D$49,2,FALSE))</f>
        <v/>
      </c>
      <c r="W53" s="188"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x14ac:dyDescent="0.25">
      <c r="B54" s="268">
        <v>15</v>
      </c>
      <c r="C54" s="78"/>
      <c r="D54" s="73"/>
      <c r="E54" s="346" t="str">
        <f>IF(D54="","",VLOOKUP(D54,'10. Condition and Temporal'!$B$6:$D$103,3,FALSE))</f>
        <v/>
      </c>
      <c r="F54" s="701"/>
      <c r="G54" s="702"/>
      <c r="H54" s="71"/>
      <c r="I54" s="710"/>
      <c r="J54" s="711"/>
      <c r="K54" s="712"/>
      <c r="L54" s="703" t="str">
        <f t="shared" si="7"/>
        <v/>
      </c>
      <c r="M54" s="680"/>
      <c r="N54" s="704"/>
      <c r="O54" s="61"/>
      <c r="P54" s="12"/>
      <c r="R54" s="646"/>
      <c r="T54" s="655" t="str">
        <f>IF(C54="","",VLOOKUP(D54,'9. All Habitats + Multipliers'!$C$4:$K$102,5,FALSE))</f>
        <v/>
      </c>
      <c r="U54" s="656"/>
      <c r="V54" s="94" t="str">
        <f>IF(T54="","",VLOOKUP(T54,'11. Lists'!$B$47:$D$49,2,FALSE))</f>
        <v/>
      </c>
      <c r="W54" s="188"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x14ac:dyDescent="0.25">
      <c r="B55" s="268">
        <v>16</v>
      </c>
      <c r="C55" s="78"/>
      <c r="D55" s="73"/>
      <c r="E55" s="346" t="str">
        <f>IF(D55="","",VLOOKUP(D55,'10. Condition and Temporal'!$B$6:$D$103,3,FALSE))</f>
        <v/>
      </c>
      <c r="F55" s="701"/>
      <c r="G55" s="702"/>
      <c r="H55" s="71"/>
      <c r="I55" s="710"/>
      <c r="J55" s="711"/>
      <c r="K55" s="712"/>
      <c r="L55" s="703" t="str">
        <f t="shared" si="7"/>
        <v/>
      </c>
      <c r="M55" s="680"/>
      <c r="N55" s="704"/>
      <c r="O55" s="61"/>
      <c r="P55" s="12"/>
      <c r="R55" s="646"/>
      <c r="T55" s="655" t="str">
        <f>IF(C55="","",VLOOKUP(D55,'9. All Habitats + Multipliers'!$C$4:$K$102,5,FALSE))</f>
        <v/>
      </c>
      <c r="U55" s="656"/>
      <c r="V55" s="94" t="str">
        <f>IF(T55="","",VLOOKUP(T55,'11. Lists'!$B$47:$D$49,2,FALSE))</f>
        <v/>
      </c>
      <c r="W55" s="188"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x14ac:dyDescent="0.25">
      <c r="B56" s="268">
        <v>17</v>
      </c>
      <c r="C56" s="78"/>
      <c r="D56" s="73"/>
      <c r="E56" s="346" t="str">
        <f>IF(D56="","",VLOOKUP(D56,'10. Condition and Temporal'!$B$6:$D$103,3,FALSE))</f>
        <v/>
      </c>
      <c r="F56" s="701"/>
      <c r="G56" s="702"/>
      <c r="H56" s="71"/>
      <c r="I56" s="710"/>
      <c r="J56" s="711"/>
      <c r="K56" s="712"/>
      <c r="L56" s="703" t="str">
        <f t="shared" si="7"/>
        <v/>
      </c>
      <c r="M56" s="680"/>
      <c r="N56" s="704"/>
      <c r="O56" s="61"/>
      <c r="P56" s="12"/>
      <c r="R56" s="646"/>
      <c r="T56" s="655" t="str">
        <f>IF(C56="","",VLOOKUP(D56,'9. All Habitats + Multipliers'!$C$4:$K$102,5,FALSE))</f>
        <v/>
      </c>
      <c r="U56" s="656"/>
      <c r="V56" s="94" t="str">
        <f>IF(T56="","",VLOOKUP(T56,'11. Lists'!$B$47:$D$49,2,FALSE))</f>
        <v/>
      </c>
      <c r="W56" s="188"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x14ac:dyDescent="0.25">
      <c r="B57" s="268">
        <v>18</v>
      </c>
      <c r="C57" s="78"/>
      <c r="D57" s="73"/>
      <c r="E57" s="346" t="str">
        <f>IF(D57="","",VLOOKUP(D57,'10. Condition and Temporal'!$B$6:$D$103,3,FALSE))</f>
        <v/>
      </c>
      <c r="F57" s="701"/>
      <c r="G57" s="702"/>
      <c r="H57" s="71"/>
      <c r="I57" s="710"/>
      <c r="J57" s="711"/>
      <c r="K57" s="712"/>
      <c r="L57" s="703" t="str">
        <f t="shared" si="7"/>
        <v/>
      </c>
      <c r="M57" s="680"/>
      <c r="N57" s="704"/>
      <c r="O57" s="61"/>
      <c r="P57" s="12"/>
      <c r="R57" s="646"/>
      <c r="T57" s="655" t="str">
        <f>IF(C57="","",VLOOKUP(D57,'9. All Habitats + Multipliers'!$C$4:$K$102,5,FALSE))</f>
        <v/>
      </c>
      <c r="U57" s="656"/>
      <c r="V57" s="94" t="str">
        <f>IF(T57="","",VLOOKUP(T57,'11. Lists'!$B$47:$D$49,2,FALSE))</f>
        <v/>
      </c>
      <c r="W57" s="188"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x14ac:dyDescent="0.25">
      <c r="B58" s="268">
        <v>19</v>
      </c>
      <c r="C58" s="78"/>
      <c r="D58" s="73"/>
      <c r="E58" s="346" t="str">
        <f>IF(D58="","",VLOOKUP(D58,'10. Condition and Temporal'!$B$6:$D$103,3,FALSE))</f>
        <v/>
      </c>
      <c r="F58" s="701"/>
      <c r="G58" s="702"/>
      <c r="H58" s="71"/>
      <c r="I58" s="710"/>
      <c r="J58" s="711"/>
      <c r="K58" s="712"/>
      <c r="L58" s="703" t="str">
        <f t="shared" si="7"/>
        <v/>
      </c>
      <c r="M58" s="680"/>
      <c r="N58" s="704"/>
      <c r="O58" s="61"/>
      <c r="P58" s="12"/>
      <c r="R58" s="646"/>
      <c r="T58" s="655" t="str">
        <f>IF(C58="","",VLOOKUP(D58,'9. All Habitats + Multipliers'!$C$4:$K$102,5,FALSE))</f>
        <v/>
      </c>
      <c r="U58" s="656"/>
      <c r="V58" s="94" t="str">
        <f>IF(T58="","",VLOOKUP(T58,'11. Lists'!$B$47:$D$49,2,FALSE))</f>
        <v/>
      </c>
      <c r="W58" s="188"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x14ac:dyDescent="0.3">
      <c r="B59" s="270">
        <v>20</v>
      </c>
      <c r="C59" s="78"/>
      <c r="D59" s="73"/>
      <c r="E59" s="346" t="str">
        <f>IF(D59="","",VLOOKUP(D59,'10. Condition and Temporal'!$B$6:$D$103,3,FALSE))</f>
        <v/>
      </c>
      <c r="F59" s="701"/>
      <c r="G59" s="702"/>
      <c r="H59" s="79"/>
      <c r="I59" s="710"/>
      <c r="J59" s="711"/>
      <c r="K59" s="712"/>
      <c r="L59" s="703" t="str">
        <f t="shared" si="7"/>
        <v/>
      </c>
      <c r="M59" s="680"/>
      <c r="N59" s="704"/>
      <c r="O59" s="22"/>
      <c r="P59" s="6"/>
      <c r="R59" s="646"/>
      <c r="T59" s="655" t="str">
        <f>IF(C59="","",VLOOKUP(D59,'9. All Habitats + Multipliers'!$C$4:$K$102,5,FALSE))</f>
        <v/>
      </c>
      <c r="U59" s="656"/>
      <c r="V59" s="94" t="str">
        <f>IF(T59="","",VLOOKUP(T59,'11. Lists'!$B$47:$D$49,2,FALSE))</f>
        <v/>
      </c>
      <c r="W59" s="188"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thickBot="1" x14ac:dyDescent="0.3">
      <c r="B60" s="271" t="s">
        <v>101</v>
      </c>
      <c r="C60" s="97" t="s">
        <v>102</v>
      </c>
      <c r="D60" s="108" t="s">
        <v>103</v>
      </c>
      <c r="E60" s="109" t="s">
        <v>123</v>
      </c>
      <c r="F60" s="739" t="s">
        <v>123</v>
      </c>
      <c r="G60" s="740"/>
      <c r="H60" s="110" t="s">
        <v>124</v>
      </c>
      <c r="I60" s="743">
        <f>O99</f>
        <v>0</v>
      </c>
      <c r="J60" s="744"/>
      <c r="K60" s="745"/>
      <c r="L60" s="705">
        <f>IF(D60="","",((I60/10000)*(V60*X60))*(AH60*AF60)*AD60)</f>
        <v>0</v>
      </c>
      <c r="M60" s="706"/>
      <c r="N60" s="688"/>
      <c r="O60" s="38"/>
      <c r="P60" s="39"/>
      <c r="R60" s="646"/>
      <c r="T60" s="657" t="str">
        <f>IF(C60="","",VLOOKUP(D60,'9. All Habitats + Multipliers'!$C$4:$K$102,5,FALSE))</f>
        <v>Medium</v>
      </c>
      <c r="U60" s="658"/>
      <c r="V60" s="99">
        <f>IF(T60="","",VLOOKUP(T60,'11. Lists'!$B$47:$D$49,2,FALSE))</f>
        <v>4</v>
      </c>
      <c r="W60" s="349"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1">
        <f>IF(AE60="","",VLOOKUP(AE60,'11. Lists'!$I$47:$K$80,3,FALSE))</f>
        <v>0.38215316459999998</v>
      </c>
      <c r="AG60" s="98" t="str">
        <f>IF(D60="","",VLOOKUP(D60,'9. All Habitats + Multipliers'!$C$4:$K$102,7,FALSE))</f>
        <v>Low</v>
      </c>
      <c r="AH60" s="99">
        <f>IF(AG60="","",VLOOKUP(AG60,'11. Lists'!$J$35:$K$38,2,FALSE))</f>
        <v>1</v>
      </c>
    </row>
    <row r="61" spans="2:53" s="25" customFormat="1" ht="15.75" thickBot="1" x14ac:dyDescent="0.3">
      <c r="H61" s="507" t="s">
        <v>105</v>
      </c>
      <c r="I61" s="810">
        <f>SUMIFS(I40:I59,D40:D59,"&lt;&gt;"&amp;'11. Lists'!Q10,D40:D59,"&lt;&gt;"&amp;'11. Lists'!Q11,D40:D59,"&lt;&gt;"&amp;'11. Lists'!I4,D40:D59,"&lt;&gt;"&amp;'11. Lists'!I2,D40:D59,"&lt;&gt;"&amp;'11. Lists'!I3)</f>
        <v>334.9</v>
      </c>
      <c r="J61" s="811"/>
      <c r="K61" s="812"/>
      <c r="L61" s="692">
        <f>SUM(L40:N60)</f>
        <v>3.4199599999999997E-2</v>
      </c>
      <c r="M61" s="813"/>
      <c r="N61" s="689"/>
      <c r="R61" s="646"/>
    </row>
    <row r="62" spans="2:53" s="25" customFormat="1" ht="15.75" thickBot="1" x14ac:dyDescent="0.3">
      <c r="H62" s="272" t="s">
        <v>125</v>
      </c>
      <c r="I62" s="707" t="str">
        <f>IF(I61&lt;&gt;M32,"Error - Area of habitat creation must match area lost ▲","Areas Acceptable ✓")</f>
        <v>Areas Acceptable ✓</v>
      </c>
      <c r="J62" s="708"/>
      <c r="K62" s="708"/>
      <c r="L62" s="708"/>
      <c r="M62" s="708"/>
      <c r="N62" s="709"/>
      <c r="O62" s="161">
        <f>IFERROR(FIND("Error",I62),0)</f>
        <v>0</v>
      </c>
      <c r="R62" s="646"/>
    </row>
    <row r="63" spans="2:53" s="25" customFormat="1" x14ac:dyDescent="0.25">
      <c r="I63" s="444">
        <f>SUM($I$40:$K$60)</f>
        <v>334.9</v>
      </c>
      <c r="R63" s="646"/>
      <c r="BA63" s="50" t="s">
        <v>126</v>
      </c>
    </row>
    <row r="64" spans="2:53" s="25" customFormat="1" ht="21" x14ac:dyDescent="0.35">
      <c r="B64" s="57" t="s">
        <v>127</v>
      </c>
      <c r="D64" s="88"/>
      <c r="H64" s="26"/>
      <c r="R64" s="646"/>
      <c r="BA64" s="50" t="s">
        <v>128</v>
      </c>
    </row>
    <row r="65" spans="1:76" s="25" customFormat="1" ht="15.75" thickBot="1" x14ac:dyDescent="0.3">
      <c r="A65" s="89"/>
      <c r="R65" s="646" t="s">
        <v>64</v>
      </c>
    </row>
    <row r="66" spans="1:76" s="25" customFormat="1" ht="16.149999999999999" customHeight="1" thickBot="1" x14ac:dyDescent="0.3">
      <c r="A66" s="89"/>
      <c r="B66" s="678" t="s">
        <v>129</v>
      </c>
      <c r="C66" s="674" t="s">
        <v>130</v>
      </c>
      <c r="D66" s="676"/>
      <c r="E66" s="717" t="s">
        <v>131</v>
      </c>
      <c r="F66" s="718"/>
      <c r="G66" s="719"/>
      <c r="H66" s="660" t="s">
        <v>132</v>
      </c>
      <c r="I66" s="660" t="s">
        <v>133</v>
      </c>
      <c r="J66" s="806" t="s">
        <v>134</v>
      </c>
      <c r="K66" s="807"/>
      <c r="L66" s="674" t="s">
        <v>135</v>
      </c>
      <c r="M66" s="675" t="s">
        <v>136</v>
      </c>
      <c r="N66" s="676"/>
      <c r="O66" s="741" t="s">
        <v>77</v>
      </c>
      <c r="P66" s="742"/>
      <c r="R66" s="646"/>
      <c r="T66" s="653" t="s">
        <v>137</v>
      </c>
      <c r="U66" s="654"/>
      <c r="V66" s="654"/>
      <c r="W66" s="654"/>
      <c r="X66" s="654"/>
      <c r="Y66" s="654"/>
      <c r="Z66" s="654"/>
      <c r="AA66" s="654"/>
      <c r="AB66" s="654"/>
      <c r="AC66" s="654"/>
      <c r="AD66" s="659"/>
      <c r="AE66" s="660" t="s">
        <v>138</v>
      </c>
      <c r="AF66" s="653" t="s">
        <v>139</v>
      </c>
      <c r="AG66" s="654"/>
      <c r="AH66" s="654"/>
      <c r="AI66" s="654"/>
      <c r="AJ66" s="654"/>
      <c r="AK66" s="654"/>
      <c r="AL66" s="654"/>
      <c r="AM66" s="654"/>
      <c r="AN66" s="654"/>
      <c r="AO66" s="654"/>
      <c r="AP66" s="659"/>
      <c r="AQ66" s="662" t="s">
        <v>140</v>
      </c>
      <c r="AR66" s="653" t="s">
        <v>139</v>
      </c>
      <c r="AS66" s="654"/>
      <c r="AT66" s="654"/>
      <c r="AU66" s="654"/>
      <c r="AV66" s="654"/>
      <c r="AW66" s="654"/>
      <c r="AX66" s="654"/>
      <c r="AY66" s="468"/>
      <c r="BA66" s="158" t="s">
        <v>141</v>
      </c>
      <c r="BB66" s="189">
        <f>COUNTIF(BB68:BB87,"?*")</f>
        <v>0</v>
      </c>
      <c r="BC66" s="189">
        <f t="shared" ref="BC66:BU66" si="10">COUNTIF(BC68:BC87,"?*")</f>
        <v>0</v>
      </c>
      <c r="BD66" s="189">
        <f t="shared" si="10"/>
        <v>0</v>
      </c>
      <c r="BE66" s="189">
        <f t="shared" si="10"/>
        <v>0</v>
      </c>
      <c r="BF66" s="189">
        <f t="shared" si="10"/>
        <v>0</v>
      </c>
      <c r="BG66" s="189">
        <f t="shared" si="10"/>
        <v>0</v>
      </c>
      <c r="BH66" s="189">
        <f t="shared" si="10"/>
        <v>0</v>
      </c>
      <c r="BI66" s="189">
        <f t="shared" si="10"/>
        <v>0</v>
      </c>
      <c r="BJ66" s="189">
        <f t="shared" si="10"/>
        <v>0</v>
      </c>
      <c r="BK66" s="189">
        <f t="shared" si="10"/>
        <v>0</v>
      </c>
      <c r="BL66" s="189">
        <f t="shared" si="10"/>
        <v>0</v>
      </c>
      <c r="BM66" s="189">
        <f t="shared" si="10"/>
        <v>0</v>
      </c>
      <c r="BN66" s="189">
        <f t="shared" si="10"/>
        <v>0</v>
      </c>
      <c r="BO66" s="189">
        <f t="shared" si="10"/>
        <v>0</v>
      </c>
      <c r="BP66" s="189">
        <f t="shared" si="10"/>
        <v>0</v>
      </c>
      <c r="BQ66" s="189">
        <f t="shared" si="10"/>
        <v>0</v>
      </c>
      <c r="BR66" s="189">
        <f t="shared" si="10"/>
        <v>0</v>
      </c>
      <c r="BS66" s="189">
        <f t="shared" si="10"/>
        <v>0</v>
      </c>
      <c r="BT66" s="189">
        <f t="shared" si="10"/>
        <v>0</v>
      </c>
      <c r="BU66" s="189">
        <f t="shared" si="10"/>
        <v>0</v>
      </c>
    </row>
    <row r="67" spans="1:76" s="25" customFormat="1" ht="48.6" customHeight="1" thickBot="1" x14ac:dyDescent="0.3">
      <c r="A67" s="89"/>
      <c r="B67" s="679"/>
      <c r="C67" s="215" t="s">
        <v>142</v>
      </c>
      <c r="D67" s="90" t="s">
        <v>143</v>
      </c>
      <c r="E67" s="86" t="s">
        <v>144</v>
      </c>
      <c r="F67" s="715" t="s">
        <v>145</v>
      </c>
      <c r="G67" s="716"/>
      <c r="H67" s="661"/>
      <c r="I67" s="661"/>
      <c r="J67" s="808"/>
      <c r="K67" s="809"/>
      <c r="L67" s="832"/>
      <c r="M67" s="833"/>
      <c r="N67" s="834"/>
      <c r="O67" s="200" t="s">
        <v>92</v>
      </c>
      <c r="P67" s="90" t="s">
        <v>93</v>
      </c>
      <c r="R67" s="646"/>
      <c r="T67" s="336" t="s">
        <v>146</v>
      </c>
      <c r="U67" s="355" t="s">
        <v>147</v>
      </c>
      <c r="V67" s="354" t="s">
        <v>148</v>
      </c>
      <c r="W67" s="513" t="s">
        <v>149</v>
      </c>
      <c r="X67" s="514" t="s">
        <v>150</v>
      </c>
      <c r="Y67" s="359"/>
      <c r="Z67" s="359"/>
      <c r="AA67" s="359"/>
      <c r="AB67" s="514" t="s">
        <v>151</v>
      </c>
      <c r="AC67" s="514" t="s">
        <v>152</v>
      </c>
      <c r="AD67" s="354" t="s">
        <v>153</v>
      </c>
      <c r="AE67" s="661"/>
      <c r="AF67" s="337" t="s">
        <v>146</v>
      </c>
      <c r="AG67" s="355" t="s">
        <v>94</v>
      </c>
      <c r="AH67" s="354" t="s">
        <v>95</v>
      </c>
      <c r="AI67" s="513" t="s">
        <v>96</v>
      </c>
      <c r="AJ67" s="363" t="s">
        <v>95</v>
      </c>
      <c r="AK67" s="350"/>
      <c r="AL67" s="350"/>
      <c r="AM67" s="350"/>
      <c r="AN67" s="364" t="s">
        <v>80</v>
      </c>
      <c r="AO67" s="514" t="s">
        <v>80</v>
      </c>
      <c r="AP67" s="524" t="s">
        <v>97</v>
      </c>
      <c r="AQ67" s="663"/>
      <c r="AR67" s="354" t="s">
        <v>154</v>
      </c>
      <c r="AS67" s="355" t="s">
        <v>155</v>
      </c>
      <c r="AT67" s="354" t="s">
        <v>156</v>
      </c>
      <c r="AU67" s="356" t="s">
        <v>157</v>
      </c>
      <c r="AV67" s="354" t="s">
        <v>158</v>
      </c>
      <c r="AW67" s="335" t="s">
        <v>159</v>
      </c>
      <c r="AX67" s="466" t="s">
        <v>160</v>
      </c>
      <c r="AY67" s="469" t="s">
        <v>161</v>
      </c>
      <c r="BA67" s="83" t="s">
        <v>162</v>
      </c>
      <c r="BB67" s="173">
        <v>1</v>
      </c>
      <c r="BC67" s="173">
        <v>2</v>
      </c>
      <c r="BD67" s="173">
        <v>3</v>
      </c>
      <c r="BE67" s="173">
        <v>4</v>
      </c>
      <c r="BF67" s="173">
        <v>5</v>
      </c>
      <c r="BG67" s="173">
        <v>6</v>
      </c>
      <c r="BH67" s="173">
        <v>7</v>
      </c>
      <c r="BI67" s="173">
        <v>8</v>
      </c>
      <c r="BJ67" s="173">
        <v>9</v>
      </c>
      <c r="BK67" s="173">
        <v>10</v>
      </c>
      <c r="BL67" s="173">
        <v>11</v>
      </c>
      <c r="BM67" s="173">
        <v>12</v>
      </c>
      <c r="BN67" s="173">
        <v>13</v>
      </c>
      <c r="BO67" s="173">
        <v>14</v>
      </c>
      <c r="BP67" s="173">
        <v>15</v>
      </c>
      <c r="BQ67" s="173">
        <v>16</v>
      </c>
      <c r="BR67" s="173">
        <v>17</v>
      </c>
      <c r="BS67" s="173">
        <v>18</v>
      </c>
      <c r="BT67" s="173">
        <v>19</v>
      </c>
      <c r="BU67" s="173">
        <v>20</v>
      </c>
      <c r="BV67" s="187" t="s">
        <v>163</v>
      </c>
      <c r="BW67" s="173" t="s">
        <v>164</v>
      </c>
      <c r="BX67" s="173" t="s">
        <v>165</v>
      </c>
    </row>
    <row r="68" spans="1:76" s="25" customFormat="1" ht="15.75" x14ac:dyDescent="0.25">
      <c r="A68" s="89"/>
      <c r="B68" s="267">
        <v>1</v>
      </c>
      <c r="C68" s="211" t="str">
        <f t="shared" ref="C68:C87" si="11">IF(D68="","",C11)</f>
        <v/>
      </c>
      <c r="D68" s="212" t="str">
        <f>IF(OR(K11=0, K11=""),"",D11)</f>
        <v/>
      </c>
      <c r="E68" s="213" t="str">
        <f t="shared" ref="E68:E88" si="12">IF(AX68="","",AX68)</f>
        <v/>
      </c>
      <c r="F68" s="713"/>
      <c r="G68" s="714"/>
      <c r="H68" s="167" t="str">
        <f t="shared" ref="H68:H87" si="13">IF(D68="","",AB68)</f>
        <v/>
      </c>
      <c r="I68" s="325" t="str">
        <f>IF(OR(K11="", K11=0),"",K11)</f>
        <v/>
      </c>
      <c r="J68" s="670" t="str">
        <f>IFERROR(IF(F68="","",VLOOKUP(F68,'10. Condition and Temporal'!$B$6:$F$103,5,FALSE)), "Error ▲")</f>
        <v/>
      </c>
      <c r="K68" s="671"/>
      <c r="L68" s="287" t="str">
        <f>IFERROR(IF(D68="","",IF(AX68="Distinctiveness",(((((I68*AH68*AJ68)-(I68*V68*X68))*(AV68*AT68))+(I68*V68*X68))*(AP68))/10000,((((I68*AJ68*AH68)-(I68*V68*X68))*(AV68*AR68))+(I68*V68*X68))*AP68/10000)),"Error ▲")</f>
        <v/>
      </c>
      <c r="M68" s="680" t="str">
        <f>IFERROR(IF(F68="","",L68-AD68), "Error ▲")</f>
        <v/>
      </c>
      <c r="N68" s="681"/>
      <c r="O68" s="214"/>
      <c r="P68" s="1"/>
      <c r="R68" s="646"/>
      <c r="T68" s="181" t="str">
        <f t="shared" ref="T68:T88" si="14">IF(D68="","",K11)</f>
        <v/>
      </c>
      <c r="U68" s="365" t="str">
        <f>IF($D68="","",T11)</f>
        <v/>
      </c>
      <c r="V68" s="367" t="str">
        <f t="shared" ref="V68:X88" si="15">IF($D68="","",V11)</f>
        <v/>
      </c>
      <c r="W68" s="365" t="str">
        <f t="shared" si="15"/>
        <v/>
      </c>
      <c r="X68" s="367" t="str">
        <f t="shared" si="15"/>
        <v/>
      </c>
      <c r="Y68" s="376"/>
      <c r="Z68" s="347"/>
      <c r="AA68" s="515"/>
      <c r="AB68" s="365" t="str">
        <f t="shared" ref="AB68:AB88" si="16">IF($D68="","",AB11)</f>
        <v/>
      </c>
      <c r="AC68" s="367" t="str">
        <f t="shared" ref="AC68:AC88" si="17">IF($D68="","",AD11)</f>
        <v/>
      </c>
      <c r="AD68" s="518" t="str">
        <f>IF(AC68="","",(T68*V68*X68)*AC68/10000)</f>
        <v/>
      </c>
      <c r="AE68" s="518" t="str">
        <f>IF(AD68="","",IF(AH68&lt;V68,"Not Acceptable","Acceptable"))</f>
        <v/>
      </c>
      <c r="AF68" s="518" t="str">
        <f t="shared" ref="AF68:AF88" si="18">IF(D68="","",I68)</f>
        <v/>
      </c>
      <c r="AG68" s="365" t="str">
        <f>IF(D68="","",VLOOKUP(F68,'9. All Habitats + Multipliers'!$C$4:$K$102,5,FALSE))</f>
        <v/>
      </c>
      <c r="AH68" s="521" t="str">
        <f>IF(AG68="","",VLOOKUP(AG68,'11. Lists'!$B$47:$D$49,2,FALSE))</f>
        <v/>
      </c>
      <c r="AI68" s="365" t="str">
        <f t="shared" ref="AI68:AI88" si="19">IF(D68="","",J68)</f>
        <v/>
      </c>
      <c r="AJ68" s="367" t="str">
        <f>IF(AI68="","",VLOOKUP(AI68,'11. Lists'!$F$47:$G$51,2,FALSE))</f>
        <v/>
      </c>
      <c r="AK68" s="523"/>
      <c r="AL68" s="366"/>
      <c r="AM68" s="526"/>
      <c r="AN68" s="365" t="str">
        <f t="shared" ref="AN68:AN88" si="20">IF(H68="","",H68)</f>
        <v/>
      </c>
      <c r="AO68" s="527" t="str">
        <f>IF(AN68="","",VLOOKUP(AN68,'11. Lists'!$F$36:$H$38,2,FALSE))</f>
        <v/>
      </c>
      <c r="AP68" s="367" t="str">
        <f>IF(AN68="","",VLOOKUP(AN68,'11. Lists'!$F$36:$H$38,3,FALSE))</f>
        <v/>
      </c>
      <c r="AQ68" s="365" t="str">
        <f>IF(D68="","",IF(AX68="Distinctiveness","N/A",VLOOKUP(F68,'10. Condition and Temporal'!$B$6:$L$103,11,FALSE)))</f>
        <v/>
      </c>
      <c r="AR68" s="528" t="str">
        <f>IF(AQ68="","",IF(AQ68="N/A","1",VLOOKUP(AQ68,'11. Lists'!$I$47:$K$80,3,FALSE)))</f>
        <v/>
      </c>
      <c r="AS68" s="531" t="str">
        <f>IF(D68="","",IF(AX68="Condition","N/A",VLOOKUP(F68,'10. Condition and Temporal'!$B$6:$M$106,12,FALSE)))</f>
        <v/>
      </c>
      <c r="AT68" s="528" t="str">
        <f>IF(AS68="","",IF(AS68="N/A","1",VLOOKUP(AS68,'11. Lists'!$I$47:$K$80,3,FALSE)))</f>
        <v/>
      </c>
      <c r="AU68" s="365" t="str">
        <f>IF(D68="","",VLOOKUP(F68,'9. All Habitats + Multipliers'!$C$4:$K$102,8,FALSE))</f>
        <v/>
      </c>
      <c r="AV68" s="367" t="str">
        <f>IF(AU68="","",VLOOKUP(AU68,'11. Lists'!$J$35:$K$38,2,FALSE))</f>
        <v/>
      </c>
      <c r="AW68" s="518" t="str">
        <f>IF(D68="","",VLOOKUP(D68,'10. Condition and Temporal'!$B$6:$M$103,4,FALSE))</f>
        <v/>
      </c>
      <c r="AX68" s="518" t="str">
        <f t="shared" ref="AX68:AX87" si="21">IF(F68="","",IF(D68=F68,"Condition","Distinctiveness"))</f>
        <v/>
      </c>
      <c r="AY68" s="470"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8" t="str">
        <f>IF(BX68=0,"",CONCATENATE(BW68,"68:",BW68,BX68+67))</f>
        <v/>
      </c>
      <c r="BW68" s="95" t="s">
        <v>166</v>
      </c>
      <c r="BX68" s="95">
        <f>BB66</f>
        <v>0</v>
      </c>
    </row>
    <row r="69" spans="1:76" s="25" customFormat="1" ht="15.75" x14ac:dyDescent="0.25">
      <c r="A69" s="89"/>
      <c r="B69" s="268">
        <v>2</v>
      </c>
      <c r="C69" s="120" t="str">
        <f t="shared" si="11"/>
        <v/>
      </c>
      <c r="D69" s="212" t="str">
        <f t="shared" ref="D69:D87" si="42">IF(OR(K12=0, K12=""),"",D12)</f>
        <v/>
      </c>
      <c r="E69" s="170" t="str">
        <f t="shared" si="12"/>
        <v/>
      </c>
      <c r="F69" s="664"/>
      <c r="G69" s="665"/>
      <c r="H69" s="167" t="str">
        <f t="shared" si="13"/>
        <v/>
      </c>
      <c r="I69" s="325" t="str">
        <f t="shared" ref="I69:I87" si="43">IF(OR(K12="", K12=0),"",K12)</f>
        <v/>
      </c>
      <c r="J69" s="670" t="str">
        <f>IFERROR(IF(F69="","",VLOOKUP(F69,'10. Condition and Temporal'!$B$6:$F$103,5,FALSE)), "Error ▲")</f>
        <v/>
      </c>
      <c r="K69" s="671"/>
      <c r="L69" s="287" t="str">
        <f t="shared" ref="L69:L87" si="44">IFERROR(IF(D69="","",IF(AX69="Distinctiveness",(((((I69*AH69*AJ69)-(I69*V69*X69))*(AV69*AT69))+(I69*V69*X69))*(AP69))/10000,((((I69*AJ69*AH69)-(I69*V69*X69))*(AV69*AR69))+(I69*V69*X69))*AP69/10000)),"Error ▲")</f>
        <v/>
      </c>
      <c r="M69" s="680" t="str">
        <f t="shared" ref="M69:M87" si="45">IFERROR(IF(F69="","",L69-AD69), "Error ▲")</f>
        <v/>
      </c>
      <c r="N69" s="681"/>
      <c r="O69" s="74"/>
      <c r="P69" s="12"/>
      <c r="R69" s="646"/>
      <c r="T69" s="181" t="str">
        <f t="shared" si="14"/>
        <v/>
      </c>
      <c r="U69" s="115" t="str">
        <f t="shared" ref="U69:U87" si="46">IF($D69="","",T12)</f>
        <v/>
      </c>
      <c r="V69" s="94" t="str">
        <f t="shared" si="15"/>
        <v/>
      </c>
      <c r="W69" s="93" t="str">
        <f t="shared" si="15"/>
        <v/>
      </c>
      <c r="X69" s="94" t="str">
        <f t="shared" si="15"/>
        <v/>
      </c>
      <c r="Y69" s="376"/>
      <c r="Z69" s="347"/>
      <c r="AA69" s="515"/>
      <c r="AB69" s="93" t="str">
        <f t="shared" si="16"/>
        <v/>
      </c>
      <c r="AC69" s="116" t="str">
        <f t="shared" si="17"/>
        <v/>
      </c>
      <c r="AD69" s="181" t="str">
        <f>IF(AC69="","",(T69*V69*X69)*AC69/10000)</f>
        <v/>
      </c>
      <c r="AE69" s="181" t="str">
        <f t="shared" ref="AE69:AE87" si="47">IF(AD69="","",IF(AH69&lt;V69,"Not Acceptable","Acceptable"))</f>
        <v/>
      </c>
      <c r="AF69" s="519" t="str">
        <f t="shared" si="18"/>
        <v/>
      </c>
      <c r="AG69" s="115" t="str">
        <f>IF(D69="","",VLOOKUP(F69,'9. All Habitats + Multipliers'!$C$4:$K$102,5,FALSE))</f>
        <v/>
      </c>
      <c r="AH69" s="348" t="str">
        <f>IF(AG69="","",VLOOKUP(AG69,'11. Lists'!$B$47:$D$49,2,FALSE))</f>
        <v/>
      </c>
      <c r="AI69" s="93" t="str">
        <f t="shared" si="19"/>
        <v/>
      </c>
      <c r="AJ69" s="94" t="str">
        <f>IF(AI69="","",VLOOKUP(AI69,'11. Lists'!$F$47:$G$51,2,FALSE))</f>
        <v/>
      </c>
      <c r="AK69" s="376"/>
      <c r="AL69" s="347"/>
      <c r="AM69" s="515"/>
      <c r="AN69" s="93" t="str">
        <f t="shared" si="20"/>
        <v/>
      </c>
      <c r="AO69" s="95" t="str">
        <f>IF(AN69="","",VLOOKUP(AN69,'11. Lists'!$F$36:$H$38,2,FALSE))</f>
        <v/>
      </c>
      <c r="AP69" s="94" t="str">
        <f>IF(AN69="","",VLOOKUP(AN69,'11. Lists'!$F$36:$H$38,3,FALSE))</f>
        <v/>
      </c>
      <c r="AQ69" s="115" t="str">
        <f>IF(D69="","",IF(AX69="Distinctiveness","N/A",VLOOKUP(F69,'10. Condition and Temporal'!$B$6:$L$103,11,FALSE)))</f>
        <v/>
      </c>
      <c r="AR69" s="119" t="str">
        <f>IF(AQ69="","",IF(AQ69="N/A","1",VLOOKUP(AQ69,'11. Lists'!$I$47:$K$80,3,FALSE)))</f>
        <v/>
      </c>
      <c r="AS69" s="532" t="str">
        <f>IF(D69="","",IF(AX69="Condition","N/A",VLOOKUP(F69,'10. Condition and Temporal'!$B$6:$M$106,12,FALSE)))</f>
        <v/>
      </c>
      <c r="AT69" s="119" t="str">
        <f>IF(AS69="","",IF(AS69="N/A","1",VLOOKUP(AS69,'11. Lists'!$I$47:$K$80,3,FALSE)))</f>
        <v/>
      </c>
      <c r="AU69" s="115" t="str">
        <f>IF(D69="","",VLOOKUP(F69,'9. All Habitats + Multipliers'!$C$4:$K$102,8,FALSE))</f>
        <v/>
      </c>
      <c r="AV69" s="116" t="str">
        <f>IF(AU69="","",VLOOKUP(AU69,'11. Lists'!$J$35:$K$38,2,FALSE))</f>
        <v/>
      </c>
      <c r="AW69" s="181" t="str">
        <f>IF(D69="","",VLOOKUP(D69,'10. Condition and Temporal'!$B$6:$M$103,4,FALSE))</f>
        <v/>
      </c>
      <c r="AX69" s="181" t="str">
        <f t="shared" si="21"/>
        <v/>
      </c>
      <c r="AY69" s="471"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8" t="str">
        <f t="shared" ref="BV69:BV87" si="49">IF(BX69=0,"",CONCATENATE(BW69,"68:",BW69,BX69+67))</f>
        <v/>
      </c>
      <c r="BW69" s="95" t="s">
        <v>167</v>
      </c>
      <c r="BX69" s="95">
        <f>BC66</f>
        <v>0</v>
      </c>
    </row>
    <row r="70" spans="1:76" s="25" customFormat="1" ht="15.75" x14ac:dyDescent="0.25">
      <c r="A70" s="89"/>
      <c r="B70" s="268">
        <v>3</v>
      </c>
      <c r="C70" s="120" t="str">
        <f t="shared" si="11"/>
        <v/>
      </c>
      <c r="D70" s="212" t="str">
        <f t="shared" si="42"/>
        <v/>
      </c>
      <c r="E70" s="170" t="str">
        <f t="shared" si="12"/>
        <v/>
      </c>
      <c r="F70" s="664"/>
      <c r="G70" s="665"/>
      <c r="H70" s="167" t="str">
        <f t="shared" si="13"/>
        <v/>
      </c>
      <c r="I70" s="325" t="str">
        <f t="shared" si="43"/>
        <v/>
      </c>
      <c r="J70" s="670" t="str">
        <f>IFERROR(IF(F70="","",VLOOKUP(F70,'10. Condition and Temporal'!$B$6:$F$103,5,FALSE)), "Error ▲")</f>
        <v/>
      </c>
      <c r="K70" s="671"/>
      <c r="L70" s="287" t="str">
        <f t="shared" si="44"/>
        <v/>
      </c>
      <c r="M70" s="680" t="str">
        <f t="shared" si="45"/>
        <v/>
      </c>
      <c r="N70" s="681"/>
      <c r="O70" s="74"/>
      <c r="P70" s="12"/>
      <c r="R70" s="646"/>
      <c r="T70" s="181" t="str">
        <f t="shared" si="14"/>
        <v/>
      </c>
      <c r="U70" s="115" t="str">
        <f t="shared" si="46"/>
        <v/>
      </c>
      <c r="V70" s="94" t="str">
        <f t="shared" si="15"/>
        <v/>
      </c>
      <c r="W70" s="93" t="str">
        <f t="shared" si="15"/>
        <v/>
      </c>
      <c r="X70" s="94" t="str">
        <f t="shared" si="15"/>
        <v/>
      </c>
      <c r="Y70" s="376"/>
      <c r="Z70" s="347"/>
      <c r="AA70" s="515"/>
      <c r="AB70" s="93" t="str">
        <f t="shared" si="16"/>
        <v/>
      </c>
      <c r="AC70" s="116" t="str">
        <f t="shared" si="17"/>
        <v/>
      </c>
      <c r="AD70" s="181" t="str">
        <f t="shared" ref="AD70:AD87" si="50">IF(AC70="","",(T70*V70*X70)*AC70/10000)</f>
        <v/>
      </c>
      <c r="AE70" s="181" t="str">
        <f t="shared" si="47"/>
        <v/>
      </c>
      <c r="AF70" s="519" t="str">
        <f t="shared" si="18"/>
        <v/>
      </c>
      <c r="AG70" s="115" t="str">
        <f>IF(D70="","",VLOOKUP(F70,'9. All Habitats + Multipliers'!$C$4:$K$102,5,FALSE))</f>
        <v/>
      </c>
      <c r="AH70" s="348" t="str">
        <f>IF(AG70="","",VLOOKUP(AG70,'11. Lists'!$B$47:$D$49,2,FALSE))</f>
        <v/>
      </c>
      <c r="AI70" s="93" t="str">
        <f t="shared" si="19"/>
        <v/>
      </c>
      <c r="AJ70" s="94" t="str">
        <f>IF(AI70="","",VLOOKUP(AI70,'11. Lists'!$F$47:$G$51,2,FALSE))</f>
        <v/>
      </c>
      <c r="AK70" s="376"/>
      <c r="AL70" s="347"/>
      <c r="AM70" s="515"/>
      <c r="AN70" s="93" t="str">
        <f t="shared" si="20"/>
        <v/>
      </c>
      <c r="AO70" s="95" t="str">
        <f>IF(AN70="","",VLOOKUP(AN70,'11. Lists'!$F$36:$H$38,2,FALSE))</f>
        <v/>
      </c>
      <c r="AP70" s="94" t="str">
        <f>IF(AN70="","",VLOOKUP(AN70,'11. Lists'!$F$36:$H$38,3,FALSE))</f>
        <v/>
      </c>
      <c r="AQ70" s="115" t="str">
        <f>IF(D70="","",IF(AX70="Distinctiveness","N/A",VLOOKUP(F70,'10. Condition and Temporal'!$B$6:$L$103,11,FALSE)))</f>
        <v/>
      </c>
      <c r="AR70" s="119" t="str">
        <f>IF(AQ70="","",IF(AQ70="N/A","1",VLOOKUP(AQ70,'11. Lists'!$I$47:$K$80,3,FALSE)))</f>
        <v/>
      </c>
      <c r="AS70" s="532" t="str">
        <f>IF(D70="","",IF(AX70="Condition","N/A",VLOOKUP(F70,'10. Condition and Temporal'!$B$6:$M$106,12,FALSE)))</f>
        <v/>
      </c>
      <c r="AT70" s="119" t="str">
        <f>IF(AS70="","",IF(AS70="N/A","1",VLOOKUP(AS70,'11. Lists'!$I$47:$K$80,3,FALSE)))</f>
        <v/>
      </c>
      <c r="AU70" s="115" t="str">
        <f>IF(D70="","",VLOOKUP(F70,'9. All Habitats + Multipliers'!$C$4:$K$102,8,FALSE))</f>
        <v/>
      </c>
      <c r="AV70" s="116" t="str">
        <f>IF(AU70="","",VLOOKUP(AU70,'11. Lists'!$J$35:$K$38,2,FALSE))</f>
        <v/>
      </c>
      <c r="AW70" s="181" t="str">
        <f>IF(D70="","",VLOOKUP(D70,'10. Condition and Temporal'!$B$6:$M$103,4,FALSE))</f>
        <v/>
      </c>
      <c r="AX70" s="181" t="str">
        <f t="shared" si="21"/>
        <v/>
      </c>
      <c r="AY70" s="471"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8" t="str">
        <f t="shared" si="49"/>
        <v/>
      </c>
      <c r="BW70" s="95" t="s">
        <v>168</v>
      </c>
      <c r="BX70" s="95">
        <f>BD66</f>
        <v>0</v>
      </c>
    </row>
    <row r="71" spans="1:76" s="25" customFormat="1" ht="15.75" x14ac:dyDescent="0.25">
      <c r="A71" s="89"/>
      <c r="B71" s="268">
        <v>4</v>
      </c>
      <c r="C71" s="120" t="str">
        <f t="shared" si="11"/>
        <v/>
      </c>
      <c r="D71" s="212" t="str">
        <f t="shared" si="42"/>
        <v/>
      </c>
      <c r="E71" s="170" t="str">
        <f t="shared" si="12"/>
        <v/>
      </c>
      <c r="F71" s="664"/>
      <c r="G71" s="665"/>
      <c r="H71" s="167" t="str">
        <f t="shared" si="13"/>
        <v/>
      </c>
      <c r="I71" s="325" t="str">
        <f t="shared" si="43"/>
        <v/>
      </c>
      <c r="J71" s="670" t="str">
        <f>IFERROR(IF(F71="","",VLOOKUP(F71,'10. Condition and Temporal'!$B$6:$F$103,5,FALSE)), "Error ▲")</f>
        <v/>
      </c>
      <c r="K71" s="671"/>
      <c r="L71" s="287" t="str">
        <f t="shared" si="44"/>
        <v/>
      </c>
      <c r="M71" s="680" t="str">
        <f t="shared" si="45"/>
        <v/>
      </c>
      <c r="N71" s="681"/>
      <c r="O71" s="74"/>
      <c r="P71" s="12"/>
      <c r="R71" s="646"/>
      <c r="T71" s="181" t="str">
        <f t="shared" si="14"/>
        <v/>
      </c>
      <c r="U71" s="115" t="str">
        <f t="shared" si="46"/>
        <v/>
      </c>
      <c r="V71" s="94" t="str">
        <f t="shared" si="15"/>
        <v/>
      </c>
      <c r="W71" s="93" t="str">
        <f t="shared" si="15"/>
        <v/>
      </c>
      <c r="X71" s="94" t="str">
        <f t="shared" si="15"/>
        <v/>
      </c>
      <c r="Y71" s="376"/>
      <c r="Z71" s="347"/>
      <c r="AA71" s="515"/>
      <c r="AB71" s="93" t="str">
        <f t="shared" si="16"/>
        <v/>
      </c>
      <c r="AC71" s="116" t="str">
        <f t="shared" si="17"/>
        <v/>
      </c>
      <c r="AD71" s="181" t="str">
        <f t="shared" si="50"/>
        <v/>
      </c>
      <c r="AE71" s="181" t="str">
        <f t="shared" si="47"/>
        <v/>
      </c>
      <c r="AF71" s="519" t="str">
        <f t="shared" si="18"/>
        <v/>
      </c>
      <c r="AG71" s="115" t="str">
        <f>IF(D71="","",VLOOKUP(F71,'9. All Habitats + Multipliers'!$C$4:$K$102,5,FALSE))</f>
        <v/>
      </c>
      <c r="AH71" s="348" t="str">
        <f>IF(AG71="","",VLOOKUP(AG71,'11. Lists'!$B$47:$D$49,2,FALSE))</f>
        <v/>
      </c>
      <c r="AI71" s="93" t="str">
        <f t="shared" si="19"/>
        <v/>
      </c>
      <c r="AJ71" s="94" t="str">
        <f>IF(AI71="","",VLOOKUP(AI71,'11. Lists'!$F$47:$G$51,2,FALSE))</f>
        <v/>
      </c>
      <c r="AK71" s="376"/>
      <c r="AL71" s="347"/>
      <c r="AM71" s="515"/>
      <c r="AN71" s="93" t="str">
        <f t="shared" si="20"/>
        <v/>
      </c>
      <c r="AO71" s="95" t="str">
        <f>IF(AN71="","",VLOOKUP(AN71,'11. Lists'!$F$36:$H$38,2,FALSE))</f>
        <v/>
      </c>
      <c r="AP71" s="94" t="str">
        <f>IF(AN71="","",VLOOKUP(AN71,'11. Lists'!$F$36:$H$38,3,FALSE))</f>
        <v/>
      </c>
      <c r="AQ71" s="115" t="str">
        <f>IF(D71="","",IF(AX71="Distinctiveness","N/A",VLOOKUP(F71,'10. Condition and Temporal'!$B$6:$L$103,11,FALSE)))</f>
        <v/>
      </c>
      <c r="AR71" s="119" t="str">
        <f>IF(AQ71="","",IF(AQ71="N/A","1",VLOOKUP(AQ71,'11. Lists'!$I$47:$K$80,3,FALSE)))</f>
        <v/>
      </c>
      <c r="AS71" s="532" t="str">
        <f>IF(D71="","",IF(AX71="Condition","N/A",VLOOKUP(F71,'10. Condition and Temporal'!$B$6:$M$106,12,FALSE)))</f>
        <v/>
      </c>
      <c r="AT71" s="119" t="str">
        <f>IF(AS71="","",IF(AS71="N/A","1",VLOOKUP(AS71,'11. Lists'!$I$47:$K$80,3,FALSE)))</f>
        <v/>
      </c>
      <c r="AU71" s="115" t="str">
        <f>IF(D71="","",VLOOKUP(F71,'9. All Habitats + Multipliers'!$C$4:$K$102,8,FALSE))</f>
        <v/>
      </c>
      <c r="AV71" s="116" t="str">
        <f>IF(AU71="","",VLOOKUP(AU71,'11. Lists'!$J$35:$K$38,2,FALSE))</f>
        <v/>
      </c>
      <c r="AW71" s="181" t="str">
        <f>IF(D71="","",VLOOKUP(D71,'10. Condition and Temporal'!$B$6:$M$103,4,FALSE))</f>
        <v/>
      </c>
      <c r="AX71" s="181" t="str">
        <f t="shared" si="21"/>
        <v/>
      </c>
      <c r="AY71" s="471"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8" t="str">
        <f t="shared" si="49"/>
        <v/>
      </c>
      <c r="BW71" s="95" t="s">
        <v>169</v>
      </c>
      <c r="BX71" s="95">
        <f>BE66</f>
        <v>0</v>
      </c>
    </row>
    <row r="72" spans="1:76" s="25" customFormat="1" ht="15.75" x14ac:dyDescent="0.25">
      <c r="A72" s="89"/>
      <c r="B72" s="268">
        <v>5</v>
      </c>
      <c r="C72" s="120" t="str">
        <f t="shared" si="11"/>
        <v/>
      </c>
      <c r="D72" s="212" t="str">
        <f t="shared" si="42"/>
        <v/>
      </c>
      <c r="E72" s="170" t="str">
        <f t="shared" si="12"/>
        <v/>
      </c>
      <c r="F72" s="664"/>
      <c r="G72" s="665"/>
      <c r="H72" s="167" t="str">
        <f t="shared" si="13"/>
        <v/>
      </c>
      <c r="I72" s="325" t="str">
        <f t="shared" si="43"/>
        <v/>
      </c>
      <c r="J72" s="670" t="str">
        <f>IFERROR(IF(F72="","",VLOOKUP(F72,'10. Condition and Temporal'!$B$6:$F$103,5,FALSE)), "Error ▲")</f>
        <v/>
      </c>
      <c r="K72" s="671"/>
      <c r="L72" s="287" t="str">
        <f t="shared" si="44"/>
        <v/>
      </c>
      <c r="M72" s="680" t="str">
        <f t="shared" si="45"/>
        <v/>
      </c>
      <c r="N72" s="681"/>
      <c r="O72" s="74"/>
      <c r="P72" s="12"/>
      <c r="R72" s="646"/>
      <c r="T72" s="181" t="str">
        <f t="shared" si="14"/>
        <v/>
      </c>
      <c r="U72" s="115" t="str">
        <f t="shared" si="46"/>
        <v/>
      </c>
      <c r="V72" s="94" t="str">
        <f t="shared" si="15"/>
        <v/>
      </c>
      <c r="W72" s="93" t="str">
        <f t="shared" si="15"/>
        <v/>
      </c>
      <c r="X72" s="94" t="str">
        <f t="shared" si="15"/>
        <v/>
      </c>
      <c r="Y72" s="376"/>
      <c r="Z72" s="347"/>
      <c r="AA72" s="515"/>
      <c r="AB72" s="93" t="str">
        <f t="shared" si="16"/>
        <v/>
      </c>
      <c r="AC72" s="116" t="str">
        <f t="shared" si="17"/>
        <v/>
      </c>
      <c r="AD72" s="181" t="str">
        <f t="shared" si="50"/>
        <v/>
      </c>
      <c r="AE72" s="181" t="str">
        <f t="shared" si="47"/>
        <v/>
      </c>
      <c r="AF72" s="519" t="str">
        <f t="shared" si="18"/>
        <v/>
      </c>
      <c r="AG72" s="115" t="str">
        <f>IF(D72="","",VLOOKUP(F72,'9. All Habitats + Multipliers'!$C$4:$K$102,5,FALSE))</f>
        <v/>
      </c>
      <c r="AH72" s="348" t="str">
        <f>IF(AG72="","",VLOOKUP(AG72,'11. Lists'!$B$47:$D$49,2,FALSE))</f>
        <v/>
      </c>
      <c r="AI72" s="93" t="str">
        <f t="shared" si="19"/>
        <v/>
      </c>
      <c r="AJ72" s="94" t="str">
        <f>IF(AI72="","",VLOOKUP(AI72,'11. Lists'!$F$47:$G$51,2,FALSE))</f>
        <v/>
      </c>
      <c r="AK72" s="376"/>
      <c r="AL72" s="347"/>
      <c r="AM72" s="515"/>
      <c r="AN72" s="93" t="str">
        <f t="shared" si="20"/>
        <v/>
      </c>
      <c r="AO72" s="95" t="str">
        <f>IF(AN72="","",VLOOKUP(AN72,'11. Lists'!$F$36:$H$38,2,FALSE))</f>
        <v/>
      </c>
      <c r="AP72" s="94" t="str">
        <f>IF(AN72="","",VLOOKUP(AN72,'11. Lists'!$F$36:$H$38,3,FALSE))</f>
        <v/>
      </c>
      <c r="AQ72" s="115" t="str">
        <f>IF(D72="","",IF(AX72="Distinctiveness","N/A",VLOOKUP(F72,'10. Condition and Temporal'!$B$6:$L$103,11,FALSE)))</f>
        <v/>
      </c>
      <c r="AR72" s="119" t="str">
        <f>IF(AQ72="","",IF(AQ72="N/A","1",VLOOKUP(AQ72,'11. Lists'!$I$47:$K$80,3,FALSE)))</f>
        <v/>
      </c>
      <c r="AS72" s="532" t="str">
        <f>IF(D72="","",IF(AX72="Condition","N/A",VLOOKUP(F72,'10. Condition and Temporal'!$B$6:$M$106,12,FALSE)))</f>
        <v/>
      </c>
      <c r="AT72" s="119" t="str">
        <f>IF(AS72="","",IF(AS72="N/A","1",VLOOKUP(AS72,'11. Lists'!$I$47:$K$80,3,FALSE)))</f>
        <v/>
      </c>
      <c r="AU72" s="115" t="str">
        <f>IF(D72="","",VLOOKUP(F72,'9. All Habitats + Multipliers'!$C$4:$K$102,8,FALSE))</f>
        <v/>
      </c>
      <c r="AV72" s="116" t="str">
        <f>IF(AU72="","",VLOOKUP(AU72,'11. Lists'!$J$35:$K$38,2,FALSE))</f>
        <v/>
      </c>
      <c r="AW72" s="181" t="str">
        <f>IF(D72="","",VLOOKUP(D72,'10. Condition and Temporal'!$B$6:$M$103,4,FALSE))</f>
        <v/>
      </c>
      <c r="AX72" s="181" t="str">
        <f t="shared" si="21"/>
        <v/>
      </c>
      <c r="AY72" s="471"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8" t="str">
        <f t="shared" si="49"/>
        <v/>
      </c>
      <c r="BW72" s="95" t="s">
        <v>170</v>
      </c>
      <c r="BX72" s="95">
        <f>BF66</f>
        <v>0</v>
      </c>
    </row>
    <row r="73" spans="1:76" s="25" customFormat="1" ht="15.75" x14ac:dyDescent="0.25">
      <c r="A73" s="89"/>
      <c r="B73" s="268">
        <v>6</v>
      </c>
      <c r="C73" s="120" t="str">
        <f t="shared" si="11"/>
        <v/>
      </c>
      <c r="D73" s="212" t="str">
        <f t="shared" si="42"/>
        <v/>
      </c>
      <c r="E73" s="170" t="str">
        <f t="shared" si="12"/>
        <v/>
      </c>
      <c r="F73" s="664"/>
      <c r="G73" s="665"/>
      <c r="H73" s="167" t="str">
        <f t="shared" si="13"/>
        <v/>
      </c>
      <c r="I73" s="325" t="str">
        <f t="shared" si="43"/>
        <v/>
      </c>
      <c r="J73" s="670" t="str">
        <f>IFERROR(IF(F73="","",VLOOKUP(F73,'10. Condition and Temporal'!$B$6:$F$103,5,FALSE)), "Error ▲")</f>
        <v/>
      </c>
      <c r="K73" s="671"/>
      <c r="L73" s="287" t="str">
        <f t="shared" si="44"/>
        <v/>
      </c>
      <c r="M73" s="680" t="str">
        <f t="shared" si="45"/>
        <v/>
      </c>
      <c r="N73" s="681"/>
      <c r="O73" s="74"/>
      <c r="P73" s="12"/>
      <c r="R73" s="646"/>
      <c r="T73" s="181" t="str">
        <f t="shared" si="14"/>
        <v/>
      </c>
      <c r="U73" s="115" t="str">
        <f t="shared" si="46"/>
        <v/>
      </c>
      <c r="V73" s="94" t="str">
        <f t="shared" si="15"/>
        <v/>
      </c>
      <c r="W73" s="93" t="str">
        <f t="shared" si="15"/>
        <v/>
      </c>
      <c r="X73" s="94" t="str">
        <f t="shared" si="15"/>
        <v/>
      </c>
      <c r="Y73" s="376"/>
      <c r="Z73" s="347"/>
      <c r="AA73" s="515"/>
      <c r="AB73" s="93" t="str">
        <f t="shared" si="16"/>
        <v/>
      </c>
      <c r="AC73" s="116" t="str">
        <f t="shared" si="17"/>
        <v/>
      </c>
      <c r="AD73" s="181" t="str">
        <f t="shared" si="50"/>
        <v/>
      </c>
      <c r="AE73" s="181" t="str">
        <f t="shared" si="47"/>
        <v/>
      </c>
      <c r="AF73" s="519" t="str">
        <f t="shared" si="18"/>
        <v/>
      </c>
      <c r="AG73" s="115" t="str">
        <f>IF(D73="","",VLOOKUP(F73,'9. All Habitats + Multipliers'!$C$4:$K$102,5,FALSE))</f>
        <v/>
      </c>
      <c r="AH73" s="348" t="str">
        <f>IF(AG73="","",VLOOKUP(AG73,'11. Lists'!$B$47:$D$49,2,FALSE))</f>
        <v/>
      </c>
      <c r="AI73" s="93" t="str">
        <f t="shared" si="19"/>
        <v/>
      </c>
      <c r="AJ73" s="94" t="str">
        <f>IF(AI73="","",VLOOKUP(AI73,'11. Lists'!$F$47:$G$51,2,FALSE))</f>
        <v/>
      </c>
      <c r="AK73" s="376"/>
      <c r="AL73" s="347"/>
      <c r="AM73" s="515"/>
      <c r="AN73" s="93" t="str">
        <f t="shared" si="20"/>
        <v/>
      </c>
      <c r="AO73" s="95" t="str">
        <f>IF(AN73="","",VLOOKUP(AN73,'11. Lists'!$F$36:$H$38,2,FALSE))</f>
        <v/>
      </c>
      <c r="AP73" s="94" t="str">
        <f>IF(AN73="","",VLOOKUP(AN73,'11. Lists'!$F$36:$H$38,3,FALSE))</f>
        <v/>
      </c>
      <c r="AQ73" s="115" t="str">
        <f>IF(D73="","",IF(AX73="Distinctiveness","N/A",VLOOKUP(F73,'10. Condition and Temporal'!$B$6:$L$103,11,FALSE)))</f>
        <v/>
      </c>
      <c r="AR73" s="119" t="str">
        <f>IF(AQ73="","",IF(AQ73="N/A","1",VLOOKUP(AQ73,'11. Lists'!$I$47:$K$80,3,FALSE)))</f>
        <v/>
      </c>
      <c r="AS73" s="532" t="str">
        <f>IF(D73="","",IF(AX73="Condition","N/A",VLOOKUP(F73,'10. Condition and Temporal'!$B$6:$M$106,12,FALSE)))</f>
        <v/>
      </c>
      <c r="AT73" s="119" t="str">
        <f>IF(AS73="","",IF(AS73="N/A","1",VLOOKUP(AS73,'11. Lists'!$I$47:$K$80,3,FALSE)))</f>
        <v/>
      </c>
      <c r="AU73" s="115" t="str">
        <f>IF(D73="","",VLOOKUP(F73,'9. All Habitats + Multipliers'!$C$4:$K$102,8,FALSE))</f>
        <v/>
      </c>
      <c r="AV73" s="116" t="str">
        <f>IF(AU73="","",VLOOKUP(AU73,'11. Lists'!$J$35:$K$38,2,FALSE))</f>
        <v/>
      </c>
      <c r="AW73" s="181" t="str">
        <f>IF(D73="","",VLOOKUP(D73,'10. Condition and Temporal'!$B$6:$M$103,4,FALSE))</f>
        <v/>
      </c>
      <c r="AX73" s="181" t="str">
        <f t="shared" si="21"/>
        <v/>
      </c>
      <c r="AY73" s="471"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8" t="str">
        <f t="shared" si="49"/>
        <v/>
      </c>
      <c r="BW73" s="95" t="s">
        <v>171</v>
      </c>
      <c r="BX73" s="95">
        <f>BG66</f>
        <v>0</v>
      </c>
    </row>
    <row r="74" spans="1:76" s="25" customFormat="1" ht="15.75" x14ac:dyDescent="0.25">
      <c r="A74" s="89"/>
      <c r="B74" s="268">
        <v>7</v>
      </c>
      <c r="C74" s="120" t="str">
        <f t="shared" si="11"/>
        <v/>
      </c>
      <c r="D74" s="212" t="str">
        <f t="shared" si="42"/>
        <v/>
      </c>
      <c r="E74" s="170" t="str">
        <f t="shared" si="12"/>
        <v/>
      </c>
      <c r="F74" s="664"/>
      <c r="G74" s="665"/>
      <c r="H74" s="167" t="str">
        <f t="shared" si="13"/>
        <v/>
      </c>
      <c r="I74" s="325" t="str">
        <f t="shared" si="43"/>
        <v/>
      </c>
      <c r="J74" s="670" t="str">
        <f>IFERROR(IF(F74="","",VLOOKUP(F74,'10. Condition and Temporal'!$B$6:$F$103,5,FALSE)), "Error ▲")</f>
        <v/>
      </c>
      <c r="K74" s="671"/>
      <c r="L74" s="287" t="str">
        <f t="shared" si="44"/>
        <v/>
      </c>
      <c r="M74" s="680" t="str">
        <f t="shared" si="45"/>
        <v/>
      </c>
      <c r="N74" s="681"/>
      <c r="O74" s="74"/>
      <c r="P74" s="12"/>
      <c r="R74" s="646"/>
      <c r="T74" s="181" t="str">
        <f t="shared" si="14"/>
        <v/>
      </c>
      <c r="U74" s="115" t="str">
        <f t="shared" si="46"/>
        <v/>
      </c>
      <c r="V74" s="94" t="str">
        <f t="shared" si="15"/>
        <v/>
      </c>
      <c r="W74" s="93" t="str">
        <f t="shared" si="15"/>
        <v/>
      </c>
      <c r="X74" s="94" t="str">
        <f t="shared" si="15"/>
        <v/>
      </c>
      <c r="Y74" s="376"/>
      <c r="Z74" s="347"/>
      <c r="AA74" s="515"/>
      <c r="AB74" s="93" t="str">
        <f t="shared" si="16"/>
        <v/>
      </c>
      <c r="AC74" s="116" t="str">
        <f t="shared" si="17"/>
        <v/>
      </c>
      <c r="AD74" s="181" t="str">
        <f t="shared" si="50"/>
        <v/>
      </c>
      <c r="AE74" s="181" t="str">
        <f t="shared" si="47"/>
        <v/>
      </c>
      <c r="AF74" s="519" t="str">
        <f t="shared" si="18"/>
        <v/>
      </c>
      <c r="AG74" s="115" t="str">
        <f>IF(D74="","",VLOOKUP(F74,'9. All Habitats + Multipliers'!$C$4:$K$102,5,FALSE))</f>
        <v/>
      </c>
      <c r="AH74" s="348" t="str">
        <f>IF(AG74="","",VLOOKUP(AG74,'11. Lists'!$B$47:$D$49,2,FALSE))</f>
        <v/>
      </c>
      <c r="AI74" s="93" t="str">
        <f t="shared" si="19"/>
        <v/>
      </c>
      <c r="AJ74" s="94" t="str">
        <f>IF(AI74="","",VLOOKUP(AI74,'11. Lists'!$F$47:$G$51,2,FALSE))</f>
        <v/>
      </c>
      <c r="AK74" s="376"/>
      <c r="AL74" s="347"/>
      <c r="AM74" s="515"/>
      <c r="AN74" s="93" t="str">
        <f t="shared" si="20"/>
        <v/>
      </c>
      <c r="AO74" s="95" t="str">
        <f>IF(AN74="","",VLOOKUP(AN74,'11. Lists'!$F$36:$H$38,2,FALSE))</f>
        <v/>
      </c>
      <c r="AP74" s="94" t="str">
        <f>IF(AN74="","",VLOOKUP(AN74,'11. Lists'!$F$36:$H$38,3,FALSE))</f>
        <v/>
      </c>
      <c r="AQ74" s="115" t="str">
        <f>IF(D74="","",IF(AX74="Distinctiveness","N/A",VLOOKUP(F74,'10. Condition and Temporal'!$B$6:$L$103,11,FALSE)))</f>
        <v/>
      </c>
      <c r="AR74" s="119" t="str">
        <f>IF(AQ74="","",IF(AQ74="N/A","1",VLOOKUP(AQ74,'11. Lists'!$I$47:$K$80,3,FALSE)))</f>
        <v/>
      </c>
      <c r="AS74" s="532" t="str">
        <f>IF(D74="","",IF(AX74="Condition","N/A",VLOOKUP(F74,'10. Condition and Temporal'!$B$6:$M$106,12,FALSE)))</f>
        <v/>
      </c>
      <c r="AT74" s="119" t="str">
        <f>IF(AS74="","",IF(AS74="N/A","1",VLOOKUP(AS74,'11. Lists'!$I$47:$K$80,3,FALSE)))</f>
        <v/>
      </c>
      <c r="AU74" s="115" t="str">
        <f>IF(D74="","",VLOOKUP(F74,'9. All Habitats + Multipliers'!$C$4:$K$102,8,FALSE))</f>
        <v/>
      </c>
      <c r="AV74" s="116" t="str">
        <f>IF(AU74="","",VLOOKUP(AU74,'11. Lists'!$J$35:$K$38,2,FALSE))</f>
        <v/>
      </c>
      <c r="AW74" s="181" t="str">
        <f>IF(D74="","",VLOOKUP(D74,'10. Condition and Temporal'!$B$6:$M$103,4,FALSE))</f>
        <v/>
      </c>
      <c r="AX74" s="181" t="str">
        <f t="shared" si="21"/>
        <v/>
      </c>
      <c r="AY74" s="471"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8" t="str">
        <f t="shared" si="49"/>
        <v/>
      </c>
      <c r="BW74" s="95" t="s">
        <v>172</v>
      </c>
      <c r="BX74" s="95">
        <f>BH66</f>
        <v>0</v>
      </c>
    </row>
    <row r="75" spans="1:76" s="25" customFormat="1" ht="15.75" x14ac:dyDescent="0.25">
      <c r="A75" s="89"/>
      <c r="B75" s="268">
        <v>8</v>
      </c>
      <c r="C75" s="120" t="str">
        <f t="shared" si="11"/>
        <v/>
      </c>
      <c r="D75" s="212" t="str">
        <f t="shared" si="42"/>
        <v/>
      </c>
      <c r="E75" s="170" t="str">
        <f t="shared" si="12"/>
        <v/>
      </c>
      <c r="F75" s="664"/>
      <c r="G75" s="665"/>
      <c r="H75" s="167" t="str">
        <f t="shared" si="13"/>
        <v/>
      </c>
      <c r="I75" s="325" t="str">
        <f t="shared" si="43"/>
        <v/>
      </c>
      <c r="J75" s="670" t="str">
        <f>IFERROR(IF(F75="","",VLOOKUP(F75,'10. Condition and Temporal'!$B$6:$F$103,5,FALSE)), "Error ▲")</f>
        <v/>
      </c>
      <c r="K75" s="671"/>
      <c r="L75" s="287" t="str">
        <f t="shared" si="44"/>
        <v/>
      </c>
      <c r="M75" s="680" t="str">
        <f t="shared" si="45"/>
        <v/>
      </c>
      <c r="N75" s="681"/>
      <c r="O75" s="74"/>
      <c r="P75" s="12"/>
      <c r="R75" s="646"/>
      <c r="T75" s="181" t="str">
        <f t="shared" si="14"/>
        <v/>
      </c>
      <c r="U75" s="115" t="str">
        <f t="shared" si="46"/>
        <v/>
      </c>
      <c r="V75" s="94" t="str">
        <f t="shared" si="15"/>
        <v/>
      </c>
      <c r="W75" s="93" t="str">
        <f t="shared" si="15"/>
        <v/>
      </c>
      <c r="X75" s="94" t="str">
        <f t="shared" si="15"/>
        <v/>
      </c>
      <c r="Y75" s="376"/>
      <c r="Z75" s="347"/>
      <c r="AA75" s="515"/>
      <c r="AB75" s="93" t="str">
        <f t="shared" si="16"/>
        <v/>
      </c>
      <c r="AC75" s="116" t="str">
        <f t="shared" si="17"/>
        <v/>
      </c>
      <c r="AD75" s="181" t="str">
        <f t="shared" si="50"/>
        <v/>
      </c>
      <c r="AE75" s="181" t="str">
        <f t="shared" si="47"/>
        <v/>
      </c>
      <c r="AF75" s="519" t="str">
        <f t="shared" si="18"/>
        <v/>
      </c>
      <c r="AG75" s="115" t="str">
        <f>IF(D75="","",VLOOKUP(F75,'9. All Habitats + Multipliers'!$C$4:$K$102,5,FALSE))</f>
        <v/>
      </c>
      <c r="AH75" s="348" t="str">
        <f>IF(AG75="","",VLOOKUP(AG75,'11. Lists'!$B$47:$D$49,2,FALSE))</f>
        <v/>
      </c>
      <c r="AI75" s="93" t="str">
        <f t="shared" si="19"/>
        <v/>
      </c>
      <c r="AJ75" s="94" t="str">
        <f>IF(AI75="","",VLOOKUP(AI75,'11. Lists'!$F$47:$G$51,2,FALSE))</f>
        <v/>
      </c>
      <c r="AK75" s="376"/>
      <c r="AL75" s="347"/>
      <c r="AM75" s="515"/>
      <c r="AN75" s="93" t="str">
        <f t="shared" si="20"/>
        <v/>
      </c>
      <c r="AO75" s="95" t="str">
        <f>IF(AN75="","",VLOOKUP(AN75,'11. Lists'!$F$36:$H$38,2,FALSE))</f>
        <v/>
      </c>
      <c r="AP75" s="94" t="str">
        <f>IF(AN75="","",VLOOKUP(AN75,'11. Lists'!$F$36:$H$38,3,FALSE))</f>
        <v/>
      </c>
      <c r="AQ75" s="115" t="str">
        <f>IF(D75="","",IF(AX75="Distinctiveness","N/A",VLOOKUP(F75,'10. Condition and Temporal'!$B$6:$L$103,11,FALSE)))</f>
        <v/>
      </c>
      <c r="AR75" s="119" t="str">
        <f>IF(AQ75="","",IF(AQ75="N/A","1",VLOOKUP(AQ75,'11. Lists'!$I$47:$K$80,3,FALSE)))</f>
        <v/>
      </c>
      <c r="AS75" s="532" t="str">
        <f>IF(D75="","",IF(AX75="Condition","N/A",VLOOKUP(F75,'10. Condition and Temporal'!$B$6:$M$106,12,FALSE)))</f>
        <v/>
      </c>
      <c r="AT75" s="119" t="str">
        <f>IF(AS75="","",IF(AS75="N/A","1",VLOOKUP(AS75,'11. Lists'!$I$47:$K$80,3,FALSE)))</f>
        <v/>
      </c>
      <c r="AU75" s="115" t="str">
        <f>IF(D75="","",VLOOKUP(F75,'9. All Habitats + Multipliers'!$C$4:$K$102,8,FALSE))</f>
        <v/>
      </c>
      <c r="AV75" s="116" t="str">
        <f>IF(AU75="","",VLOOKUP(AU75,'11. Lists'!$J$35:$K$38,2,FALSE))</f>
        <v/>
      </c>
      <c r="AW75" s="181" t="str">
        <f>IF(D75="","",VLOOKUP(D75,'10. Condition and Temporal'!$B$6:$M$103,4,FALSE))</f>
        <v/>
      </c>
      <c r="AX75" s="181" t="str">
        <f t="shared" si="21"/>
        <v/>
      </c>
      <c r="AY75" s="471"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8" t="str">
        <f t="shared" si="49"/>
        <v/>
      </c>
      <c r="BW75" s="95" t="s">
        <v>173</v>
      </c>
      <c r="BX75" s="95">
        <f>BI66</f>
        <v>0</v>
      </c>
    </row>
    <row r="76" spans="1:76" s="25" customFormat="1" ht="15.75" x14ac:dyDescent="0.25">
      <c r="A76" s="89"/>
      <c r="B76" s="268">
        <v>9</v>
      </c>
      <c r="C76" s="120" t="str">
        <f t="shared" si="11"/>
        <v/>
      </c>
      <c r="D76" s="212" t="str">
        <f t="shared" si="42"/>
        <v/>
      </c>
      <c r="E76" s="170" t="str">
        <f t="shared" si="12"/>
        <v/>
      </c>
      <c r="F76" s="664"/>
      <c r="G76" s="665"/>
      <c r="H76" s="167" t="str">
        <f t="shared" si="13"/>
        <v/>
      </c>
      <c r="I76" s="325" t="str">
        <f t="shared" si="43"/>
        <v/>
      </c>
      <c r="J76" s="670" t="str">
        <f>IFERROR(IF(F76="","",VLOOKUP(F76,'10. Condition and Temporal'!$B$6:$F$103,5,FALSE)), "Error ▲")</f>
        <v/>
      </c>
      <c r="K76" s="671"/>
      <c r="L76" s="287" t="str">
        <f t="shared" si="44"/>
        <v/>
      </c>
      <c r="M76" s="680" t="str">
        <f t="shared" si="45"/>
        <v/>
      </c>
      <c r="N76" s="681"/>
      <c r="O76" s="74"/>
      <c r="P76" s="12"/>
      <c r="R76" s="646"/>
      <c r="T76" s="181" t="str">
        <f t="shared" si="14"/>
        <v/>
      </c>
      <c r="U76" s="115" t="str">
        <f t="shared" si="46"/>
        <v/>
      </c>
      <c r="V76" s="94" t="str">
        <f t="shared" si="15"/>
        <v/>
      </c>
      <c r="W76" s="93" t="str">
        <f t="shared" si="15"/>
        <v/>
      </c>
      <c r="X76" s="94" t="str">
        <f t="shared" si="15"/>
        <v/>
      </c>
      <c r="Y76" s="376"/>
      <c r="Z76" s="347"/>
      <c r="AA76" s="515"/>
      <c r="AB76" s="93" t="str">
        <f t="shared" si="16"/>
        <v/>
      </c>
      <c r="AC76" s="116" t="str">
        <f t="shared" si="17"/>
        <v/>
      </c>
      <c r="AD76" s="181" t="str">
        <f t="shared" si="50"/>
        <v/>
      </c>
      <c r="AE76" s="181" t="str">
        <f t="shared" si="47"/>
        <v/>
      </c>
      <c r="AF76" s="519" t="str">
        <f t="shared" si="18"/>
        <v/>
      </c>
      <c r="AG76" s="115" t="str">
        <f>IF(D76="","",VLOOKUP(F76,'9. All Habitats + Multipliers'!$C$4:$K$102,5,FALSE))</f>
        <v/>
      </c>
      <c r="AH76" s="348" t="str">
        <f>IF(AG76="","",VLOOKUP(AG76,'11. Lists'!$B$47:$D$49,2,FALSE))</f>
        <v/>
      </c>
      <c r="AI76" s="93" t="str">
        <f t="shared" si="19"/>
        <v/>
      </c>
      <c r="AJ76" s="94" t="str">
        <f>IF(AI76="","",VLOOKUP(AI76,'11. Lists'!$F$47:$G$51,2,FALSE))</f>
        <v/>
      </c>
      <c r="AK76" s="376"/>
      <c r="AL76" s="347"/>
      <c r="AM76" s="515"/>
      <c r="AN76" s="93" t="str">
        <f t="shared" si="20"/>
        <v/>
      </c>
      <c r="AO76" s="95" t="str">
        <f>IF(AN76="","",VLOOKUP(AN76,'11. Lists'!$F$36:$H$38,2,FALSE))</f>
        <v/>
      </c>
      <c r="AP76" s="94" t="str">
        <f>IF(AN76="","",VLOOKUP(AN76,'11. Lists'!$F$36:$H$38,3,FALSE))</f>
        <v/>
      </c>
      <c r="AQ76" s="115" t="str">
        <f>IF(D76="","",IF(AX76="Distinctiveness","N/A",VLOOKUP(F76,'10. Condition and Temporal'!$B$6:$L$103,11,FALSE)))</f>
        <v/>
      </c>
      <c r="AR76" s="119" t="str">
        <f>IF(AQ76="","",IF(AQ76="N/A","1",VLOOKUP(AQ76,'11. Lists'!$I$47:$K$80,3,FALSE)))</f>
        <v/>
      </c>
      <c r="AS76" s="532" t="str">
        <f>IF(D76="","",IF(AX76="Condition","N/A",VLOOKUP(F76,'10. Condition and Temporal'!$B$6:$M$106,12,FALSE)))</f>
        <v/>
      </c>
      <c r="AT76" s="119" t="str">
        <f>IF(AS76="","",IF(AS76="N/A","1",VLOOKUP(AS76,'11. Lists'!$I$47:$K$80,3,FALSE)))</f>
        <v/>
      </c>
      <c r="AU76" s="115" t="str">
        <f>IF(D76="","",VLOOKUP(F76,'9. All Habitats + Multipliers'!$C$4:$K$102,8,FALSE))</f>
        <v/>
      </c>
      <c r="AV76" s="116" t="str">
        <f>IF(AU76="","",VLOOKUP(AU76,'11. Lists'!$J$35:$K$38,2,FALSE))</f>
        <v/>
      </c>
      <c r="AW76" s="181" t="str">
        <f>IF(D76="","",VLOOKUP(D76,'10. Condition and Temporal'!$B$6:$M$103,4,FALSE))</f>
        <v/>
      </c>
      <c r="AX76" s="181" t="str">
        <f t="shared" si="21"/>
        <v/>
      </c>
      <c r="AY76" s="471"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8" t="str">
        <f t="shared" si="49"/>
        <v/>
      </c>
      <c r="BW76" s="95" t="s">
        <v>174</v>
      </c>
      <c r="BX76" s="95">
        <f>BJ66</f>
        <v>0</v>
      </c>
    </row>
    <row r="77" spans="1:76" s="25" customFormat="1" ht="15.75" x14ac:dyDescent="0.25">
      <c r="A77" s="89"/>
      <c r="B77" s="268">
        <v>10</v>
      </c>
      <c r="C77" s="120" t="str">
        <f t="shared" si="11"/>
        <v/>
      </c>
      <c r="D77" s="212" t="str">
        <f t="shared" si="42"/>
        <v/>
      </c>
      <c r="E77" s="170" t="str">
        <f t="shared" si="12"/>
        <v/>
      </c>
      <c r="F77" s="664"/>
      <c r="G77" s="665"/>
      <c r="H77" s="167" t="str">
        <f t="shared" si="13"/>
        <v/>
      </c>
      <c r="I77" s="325" t="str">
        <f t="shared" si="43"/>
        <v/>
      </c>
      <c r="J77" s="670" t="str">
        <f>IFERROR(IF(F77="","",VLOOKUP(F77,'10. Condition and Temporal'!$B$6:$F$103,5,FALSE)), "Error ▲")</f>
        <v/>
      </c>
      <c r="K77" s="671"/>
      <c r="L77" s="287" t="str">
        <f t="shared" si="44"/>
        <v/>
      </c>
      <c r="M77" s="680" t="str">
        <f t="shared" si="45"/>
        <v/>
      </c>
      <c r="N77" s="681"/>
      <c r="O77" s="74"/>
      <c r="P77" s="12"/>
      <c r="R77" s="646"/>
      <c r="T77" s="181" t="str">
        <f t="shared" si="14"/>
        <v/>
      </c>
      <c r="U77" s="115" t="str">
        <f t="shared" si="46"/>
        <v/>
      </c>
      <c r="V77" s="94" t="str">
        <f t="shared" si="15"/>
        <v/>
      </c>
      <c r="W77" s="93" t="str">
        <f t="shared" si="15"/>
        <v/>
      </c>
      <c r="X77" s="94" t="str">
        <f t="shared" si="15"/>
        <v/>
      </c>
      <c r="Y77" s="376"/>
      <c r="Z77" s="347"/>
      <c r="AA77" s="515"/>
      <c r="AB77" s="93" t="str">
        <f t="shared" si="16"/>
        <v/>
      </c>
      <c r="AC77" s="116" t="str">
        <f t="shared" si="17"/>
        <v/>
      </c>
      <c r="AD77" s="181" t="str">
        <f t="shared" si="50"/>
        <v/>
      </c>
      <c r="AE77" s="181" t="str">
        <f t="shared" si="47"/>
        <v/>
      </c>
      <c r="AF77" s="519" t="str">
        <f t="shared" si="18"/>
        <v/>
      </c>
      <c r="AG77" s="115" t="str">
        <f>IF(D77="","",VLOOKUP(F77,'9. All Habitats + Multipliers'!$C$4:$K$102,5,FALSE))</f>
        <v/>
      </c>
      <c r="AH77" s="348" t="str">
        <f>IF(AG77="","",VLOOKUP(AG77,'11. Lists'!$B$47:$D$49,2,FALSE))</f>
        <v/>
      </c>
      <c r="AI77" s="93" t="str">
        <f t="shared" si="19"/>
        <v/>
      </c>
      <c r="AJ77" s="94" t="str">
        <f>IF(AI77="","",VLOOKUP(AI77,'11. Lists'!$F$47:$G$51,2,FALSE))</f>
        <v/>
      </c>
      <c r="AK77" s="376"/>
      <c r="AL77" s="347"/>
      <c r="AM77" s="515"/>
      <c r="AN77" s="93" t="str">
        <f t="shared" si="20"/>
        <v/>
      </c>
      <c r="AO77" s="95" t="str">
        <f>IF(AN77="","",VLOOKUP(AN77,'11. Lists'!$F$36:$H$38,2,FALSE))</f>
        <v/>
      </c>
      <c r="AP77" s="94" t="str">
        <f>IF(AN77="","",VLOOKUP(AN77,'11. Lists'!$F$36:$H$38,3,FALSE))</f>
        <v/>
      </c>
      <c r="AQ77" s="115" t="str">
        <f>IF(D77="","",IF(AX77="Distinctiveness","N/A",VLOOKUP(F77,'10. Condition and Temporal'!$B$6:$L$103,11,FALSE)))</f>
        <v/>
      </c>
      <c r="AR77" s="119" t="str">
        <f>IF(AQ77="","",IF(AQ77="N/A","1",VLOOKUP(AQ77,'11. Lists'!$I$47:$K$80,3,FALSE)))</f>
        <v/>
      </c>
      <c r="AS77" s="532" t="str">
        <f>IF(D77="","",IF(AX77="Condition","N/A",VLOOKUP(F77,'10. Condition and Temporal'!$B$6:$M$106,12,FALSE)))</f>
        <v/>
      </c>
      <c r="AT77" s="119" t="str">
        <f>IF(AS77="","",IF(AS77="N/A","1",VLOOKUP(AS77,'11. Lists'!$I$47:$K$80,3,FALSE)))</f>
        <v/>
      </c>
      <c r="AU77" s="115" t="str">
        <f>IF(D77="","",VLOOKUP(F77,'9. All Habitats + Multipliers'!$C$4:$K$102,8,FALSE))</f>
        <v/>
      </c>
      <c r="AV77" s="116" t="str">
        <f>IF(AU77="","",VLOOKUP(AU77,'11. Lists'!$J$35:$K$38,2,FALSE))</f>
        <v/>
      </c>
      <c r="AW77" s="181" t="str">
        <f>IF(D77="","",VLOOKUP(D77,'10. Condition and Temporal'!$B$6:$M$103,4,FALSE))</f>
        <v/>
      </c>
      <c r="AX77" s="181" t="str">
        <f t="shared" si="21"/>
        <v/>
      </c>
      <c r="AY77" s="471"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8" t="str">
        <f t="shared" si="49"/>
        <v/>
      </c>
      <c r="BW77" s="95" t="s">
        <v>175</v>
      </c>
      <c r="BX77" s="95">
        <f>BK66</f>
        <v>0</v>
      </c>
    </row>
    <row r="78" spans="1:76" s="25" customFormat="1" ht="15.75" x14ac:dyDescent="0.25">
      <c r="A78" s="89"/>
      <c r="B78" s="268">
        <v>11</v>
      </c>
      <c r="C78" s="120" t="str">
        <f t="shared" si="11"/>
        <v/>
      </c>
      <c r="D78" s="212" t="str">
        <f t="shared" si="42"/>
        <v/>
      </c>
      <c r="E78" s="170" t="str">
        <f t="shared" si="12"/>
        <v/>
      </c>
      <c r="F78" s="664"/>
      <c r="G78" s="665"/>
      <c r="H78" s="167" t="str">
        <f t="shared" si="13"/>
        <v/>
      </c>
      <c r="I78" s="325" t="str">
        <f t="shared" si="43"/>
        <v/>
      </c>
      <c r="J78" s="670" t="str">
        <f>IFERROR(IF(F78="","",VLOOKUP(F78,'10. Condition and Temporal'!$B$6:$F$103,5,FALSE)), "Error ▲")</f>
        <v/>
      </c>
      <c r="K78" s="671"/>
      <c r="L78" s="287" t="str">
        <f t="shared" si="44"/>
        <v/>
      </c>
      <c r="M78" s="680" t="str">
        <f t="shared" si="45"/>
        <v/>
      </c>
      <c r="N78" s="681"/>
      <c r="O78" s="74"/>
      <c r="P78" s="12"/>
      <c r="R78" s="646"/>
      <c r="T78" s="181" t="str">
        <f t="shared" si="14"/>
        <v/>
      </c>
      <c r="U78" s="115" t="str">
        <f t="shared" si="46"/>
        <v/>
      </c>
      <c r="V78" s="94" t="str">
        <f t="shared" si="15"/>
        <v/>
      </c>
      <c r="W78" s="93" t="str">
        <f t="shared" si="15"/>
        <v/>
      </c>
      <c r="X78" s="94" t="str">
        <f t="shared" si="15"/>
        <v/>
      </c>
      <c r="Y78" s="376"/>
      <c r="Z78" s="347"/>
      <c r="AA78" s="515"/>
      <c r="AB78" s="93" t="str">
        <f t="shared" si="16"/>
        <v/>
      </c>
      <c r="AC78" s="116" t="str">
        <f t="shared" si="17"/>
        <v/>
      </c>
      <c r="AD78" s="181" t="str">
        <f t="shared" si="50"/>
        <v/>
      </c>
      <c r="AE78" s="181" t="str">
        <f t="shared" si="47"/>
        <v/>
      </c>
      <c r="AF78" s="519" t="str">
        <f t="shared" si="18"/>
        <v/>
      </c>
      <c r="AG78" s="115" t="str">
        <f>IF(D78="","",VLOOKUP(F78,'9. All Habitats + Multipliers'!$C$4:$K$102,5,FALSE))</f>
        <v/>
      </c>
      <c r="AH78" s="348" t="str">
        <f>IF(AG78="","",VLOOKUP(AG78,'11. Lists'!$B$47:$D$49,2,FALSE))</f>
        <v/>
      </c>
      <c r="AI78" s="93" t="str">
        <f t="shared" si="19"/>
        <v/>
      </c>
      <c r="AJ78" s="94" t="str">
        <f>IF(AI78="","",VLOOKUP(AI78,'11. Lists'!$F$47:$G$51,2,FALSE))</f>
        <v/>
      </c>
      <c r="AK78" s="376"/>
      <c r="AL78" s="347"/>
      <c r="AM78" s="515"/>
      <c r="AN78" s="93" t="str">
        <f t="shared" si="20"/>
        <v/>
      </c>
      <c r="AO78" s="95" t="str">
        <f>IF(AN78="","",VLOOKUP(AN78,'11. Lists'!$F$36:$H$38,2,FALSE))</f>
        <v/>
      </c>
      <c r="AP78" s="94" t="str">
        <f>IF(AN78="","",VLOOKUP(AN78,'11. Lists'!$F$36:$H$38,3,FALSE))</f>
        <v/>
      </c>
      <c r="AQ78" s="115" t="str">
        <f>IF(D78="","",IF(AX78="Distinctiveness","N/A",VLOOKUP(F78,'10. Condition and Temporal'!$B$6:$L$103,11,FALSE)))</f>
        <v/>
      </c>
      <c r="AR78" s="119" t="str">
        <f>IF(AQ78="","",IF(AQ78="N/A","1",VLOOKUP(AQ78,'11. Lists'!$I$47:$K$80,3,FALSE)))</f>
        <v/>
      </c>
      <c r="AS78" s="532" t="str">
        <f>IF(D78="","",IF(AX78="Condition","N/A",VLOOKUP(F78,'10. Condition and Temporal'!$B$6:$M$106,12,FALSE)))</f>
        <v/>
      </c>
      <c r="AT78" s="119" t="str">
        <f>IF(AS78="","",IF(AS78="N/A","1",VLOOKUP(AS78,'11. Lists'!$I$47:$K$80,3,FALSE)))</f>
        <v/>
      </c>
      <c r="AU78" s="115" t="str">
        <f>IF(D78="","",VLOOKUP(F78,'9. All Habitats + Multipliers'!$C$4:$K$102,8,FALSE))</f>
        <v/>
      </c>
      <c r="AV78" s="116" t="str">
        <f>IF(AU78="","",VLOOKUP(AU78,'11. Lists'!$J$35:$K$38,2,FALSE))</f>
        <v/>
      </c>
      <c r="AW78" s="181" t="str">
        <f>IF(D78="","",VLOOKUP(D78,'10. Condition and Temporal'!$B$6:$M$103,4,FALSE))</f>
        <v/>
      </c>
      <c r="AX78" s="181" t="str">
        <f t="shared" si="21"/>
        <v/>
      </c>
      <c r="AY78" s="471"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8" t="str">
        <f t="shared" si="49"/>
        <v/>
      </c>
      <c r="BW78" s="95" t="s">
        <v>176</v>
      </c>
      <c r="BX78" s="95">
        <f>BL66</f>
        <v>0</v>
      </c>
    </row>
    <row r="79" spans="1:76" s="25" customFormat="1" ht="15.75" x14ac:dyDescent="0.25">
      <c r="A79" s="89"/>
      <c r="B79" s="268">
        <v>12</v>
      </c>
      <c r="C79" s="120" t="str">
        <f t="shared" si="11"/>
        <v/>
      </c>
      <c r="D79" s="212" t="str">
        <f t="shared" si="42"/>
        <v/>
      </c>
      <c r="E79" s="170" t="str">
        <f t="shared" si="12"/>
        <v/>
      </c>
      <c r="F79" s="664"/>
      <c r="G79" s="665"/>
      <c r="H79" s="167" t="str">
        <f t="shared" si="13"/>
        <v/>
      </c>
      <c r="I79" s="325" t="str">
        <f t="shared" si="43"/>
        <v/>
      </c>
      <c r="J79" s="670" t="str">
        <f>IFERROR(IF(F79="","",VLOOKUP(F79,'10. Condition and Temporal'!$B$6:$F$103,5,FALSE)), "Error ▲")</f>
        <v/>
      </c>
      <c r="K79" s="671"/>
      <c r="L79" s="287" t="str">
        <f t="shared" si="44"/>
        <v/>
      </c>
      <c r="M79" s="680" t="str">
        <f t="shared" si="45"/>
        <v/>
      </c>
      <c r="N79" s="681"/>
      <c r="O79" s="74"/>
      <c r="P79" s="12"/>
      <c r="R79" s="646"/>
      <c r="T79" s="181" t="str">
        <f t="shared" si="14"/>
        <v/>
      </c>
      <c r="U79" s="115" t="str">
        <f t="shared" si="46"/>
        <v/>
      </c>
      <c r="V79" s="94" t="str">
        <f t="shared" si="15"/>
        <v/>
      </c>
      <c r="W79" s="93" t="str">
        <f t="shared" si="15"/>
        <v/>
      </c>
      <c r="X79" s="94" t="str">
        <f t="shared" si="15"/>
        <v/>
      </c>
      <c r="Y79" s="376"/>
      <c r="Z79" s="347"/>
      <c r="AA79" s="515"/>
      <c r="AB79" s="93" t="str">
        <f t="shared" si="16"/>
        <v/>
      </c>
      <c r="AC79" s="116" t="str">
        <f t="shared" si="17"/>
        <v/>
      </c>
      <c r="AD79" s="181" t="str">
        <f t="shared" si="50"/>
        <v/>
      </c>
      <c r="AE79" s="181" t="str">
        <f t="shared" si="47"/>
        <v/>
      </c>
      <c r="AF79" s="519" t="str">
        <f t="shared" si="18"/>
        <v/>
      </c>
      <c r="AG79" s="115" t="str">
        <f>IF(D79="","",VLOOKUP(F79,'9. All Habitats + Multipliers'!$C$4:$K$102,5,FALSE))</f>
        <v/>
      </c>
      <c r="AH79" s="348" t="str">
        <f>IF(AG79="","",VLOOKUP(AG79,'11. Lists'!$B$47:$D$49,2,FALSE))</f>
        <v/>
      </c>
      <c r="AI79" s="93" t="str">
        <f t="shared" si="19"/>
        <v/>
      </c>
      <c r="AJ79" s="94" t="str">
        <f>IF(AI79="","",VLOOKUP(AI79,'11. Lists'!$F$47:$G$51,2,FALSE))</f>
        <v/>
      </c>
      <c r="AK79" s="376"/>
      <c r="AL79" s="347"/>
      <c r="AM79" s="515"/>
      <c r="AN79" s="93" t="str">
        <f t="shared" si="20"/>
        <v/>
      </c>
      <c r="AO79" s="95" t="str">
        <f>IF(AN79="","",VLOOKUP(AN79,'11. Lists'!$F$36:$H$38,2,FALSE))</f>
        <v/>
      </c>
      <c r="AP79" s="94" t="str">
        <f>IF(AN79="","",VLOOKUP(AN79,'11. Lists'!$F$36:$H$38,3,FALSE))</f>
        <v/>
      </c>
      <c r="AQ79" s="115" t="str">
        <f>IF(D79="","",IF(AX79="Distinctiveness","N/A",VLOOKUP(F79,'10. Condition and Temporal'!$B$6:$L$103,11,FALSE)))</f>
        <v/>
      </c>
      <c r="AR79" s="119" t="str">
        <f>IF(AQ79="","",IF(AQ79="N/A","1",VLOOKUP(AQ79,'11. Lists'!$I$47:$K$80,3,FALSE)))</f>
        <v/>
      </c>
      <c r="AS79" s="532" t="str">
        <f>IF(D79="","",IF(AX79="Condition","N/A",VLOOKUP(F79,'10. Condition and Temporal'!$B$6:$M$106,12,FALSE)))</f>
        <v/>
      </c>
      <c r="AT79" s="119" t="str">
        <f>IF(AS79="","",IF(AS79="N/A","1",VLOOKUP(AS79,'11. Lists'!$I$47:$K$80,3,FALSE)))</f>
        <v/>
      </c>
      <c r="AU79" s="115" t="str">
        <f>IF(D79="","",VLOOKUP(F79,'9. All Habitats + Multipliers'!$C$4:$K$102,8,FALSE))</f>
        <v/>
      </c>
      <c r="AV79" s="116" t="str">
        <f>IF(AU79="","",VLOOKUP(AU79,'11. Lists'!$J$35:$K$38,2,FALSE))</f>
        <v/>
      </c>
      <c r="AW79" s="181" t="str">
        <f>IF(D79="","",VLOOKUP(D79,'10. Condition and Temporal'!$B$6:$M$103,4,FALSE))</f>
        <v/>
      </c>
      <c r="AX79" s="181" t="str">
        <f t="shared" si="21"/>
        <v/>
      </c>
      <c r="AY79" s="471"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8" t="str">
        <f t="shared" si="49"/>
        <v/>
      </c>
      <c r="BW79" s="95" t="s">
        <v>177</v>
      </c>
      <c r="BX79" s="95">
        <f>BM66</f>
        <v>0</v>
      </c>
    </row>
    <row r="80" spans="1:76" s="25" customFormat="1" ht="15.75" x14ac:dyDescent="0.25">
      <c r="A80" s="89"/>
      <c r="B80" s="268">
        <v>13</v>
      </c>
      <c r="C80" s="120" t="str">
        <f t="shared" si="11"/>
        <v/>
      </c>
      <c r="D80" s="212" t="str">
        <f t="shared" si="42"/>
        <v/>
      </c>
      <c r="E80" s="170" t="str">
        <f t="shared" si="12"/>
        <v/>
      </c>
      <c r="F80" s="664"/>
      <c r="G80" s="665"/>
      <c r="H80" s="167" t="str">
        <f t="shared" si="13"/>
        <v/>
      </c>
      <c r="I80" s="325" t="str">
        <f t="shared" si="43"/>
        <v/>
      </c>
      <c r="J80" s="670" t="str">
        <f>IFERROR(IF(F80="","",VLOOKUP(F80,'10. Condition and Temporal'!$B$6:$F$103,5,FALSE)), "Error ▲")</f>
        <v/>
      </c>
      <c r="K80" s="671"/>
      <c r="L80" s="287" t="str">
        <f t="shared" si="44"/>
        <v/>
      </c>
      <c r="M80" s="680" t="str">
        <f t="shared" si="45"/>
        <v/>
      </c>
      <c r="N80" s="681"/>
      <c r="O80" s="74"/>
      <c r="P80" s="12"/>
      <c r="R80" s="646"/>
      <c r="T80" s="181" t="str">
        <f t="shared" si="14"/>
        <v/>
      </c>
      <c r="U80" s="115" t="str">
        <f t="shared" si="46"/>
        <v/>
      </c>
      <c r="V80" s="94" t="str">
        <f t="shared" si="15"/>
        <v/>
      </c>
      <c r="W80" s="93" t="str">
        <f t="shared" si="15"/>
        <v/>
      </c>
      <c r="X80" s="94" t="str">
        <f t="shared" si="15"/>
        <v/>
      </c>
      <c r="Y80" s="376"/>
      <c r="Z80" s="347"/>
      <c r="AA80" s="515"/>
      <c r="AB80" s="93" t="str">
        <f t="shared" si="16"/>
        <v/>
      </c>
      <c r="AC80" s="116" t="str">
        <f t="shared" si="17"/>
        <v/>
      </c>
      <c r="AD80" s="181" t="str">
        <f t="shared" si="50"/>
        <v/>
      </c>
      <c r="AE80" s="181" t="str">
        <f t="shared" si="47"/>
        <v/>
      </c>
      <c r="AF80" s="519" t="str">
        <f t="shared" si="18"/>
        <v/>
      </c>
      <c r="AG80" s="115" t="str">
        <f>IF(D80="","",VLOOKUP(F80,'9. All Habitats + Multipliers'!$C$4:$K$102,5,FALSE))</f>
        <v/>
      </c>
      <c r="AH80" s="348" t="str">
        <f>IF(AG80="","",VLOOKUP(AG80,'11. Lists'!$B$47:$D$49,2,FALSE))</f>
        <v/>
      </c>
      <c r="AI80" s="93" t="str">
        <f t="shared" si="19"/>
        <v/>
      </c>
      <c r="AJ80" s="94" t="str">
        <f>IF(AI80="","",VLOOKUP(AI80,'11. Lists'!$F$47:$G$51,2,FALSE))</f>
        <v/>
      </c>
      <c r="AK80" s="376"/>
      <c r="AL80" s="347"/>
      <c r="AM80" s="515"/>
      <c r="AN80" s="93" t="str">
        <f t="shared" si="20"/>
        <v/>
      </c>
      <c r="AO80" s="95" t="str">
        <f>IF(AN80="","",VLOOKUP(AN80,'11. Lists'!$F$36:$H$38,2,FALSE))</f>
        <v/>
      </c>
      <c r="AP80" s="94" t="str">
        <f>IF(AN80="","",VLOOKUP(AN80,'11. Lists'!$F$36:$H$38,3,FALSE))</f>
        <v/>
      </c>
      <c r="AQ80" s="115" t="str">
        <f>IF(D80="","",IF(AX80="Distinctiveness","N/A",VLOOKUP(F80,'10. Condition and Temporal'!$B$6:$L$103,11,FALSE)))</f>
        <v/>
      </c>
      <c r="AR80" s="119" t="str">
        <f>IF(AQ80="","",IF(AQ80="N/A","1",VLOOKUP(AQ80,'11. Lists'!$I$47:$K$80,3,FALSE)))</f>
        <v/>
      </c>
      <c r="AS80" s="532" t="str">
        <f>IF(D80="","",IF(AX80="Condition","N/A",VLOOKUP(F80,'10. Condition and Temporal'!$B$6:$M$106,12,FALSE)))</f>
        <v/>
      </c>
      <c r="AT80" s="119" t="str">
        <f>IF(AS80="","",IF(AS80="N/A","1",VLOOKUP(AS80,'11. Lists'!$I$47:$K$80,3,FALSE)))</f>
        <v/>
      </c>
      <c r="AU80" s="115" t="str">
        <f>IF(D80="","",VLOOKUP(F80,'9. All Habitats + Multipliers'!$C$4:$K$102,8,FALSE))</f>
        <v/>
      </c>
      <c r="AV80" s="116" t="str">
        <f>IF(AU80="","",VLOOKUP(AU80,'11. Lists'!$J$35:$K$38,2,FALSE))</f>
        <v/>
      </c>
      <c r="AW80" s="181" t="str">
        <f>IF(D80="","",VLOOKUP(D80,'10. Condition and Temporal'!$B$6:$M$103,4,FALSE))</f>
        <v/>
      </c>
      <c r="AX80" s="181" t="str">
        <f t="shared" si="21"/>
        <v/>
      </c>
      <c r="AY80" s="471"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8" t="str">
        <f t="shared" si="49"/>
        <v/>
      </c>
      <c r="BW80" s="95" t="s">
        <v>178</v>
      </c>
      <c r="BX80" s="95">
        <f>BN66</f>
        <v>0</v>
      </c>
    </row>
    <row r="81" spans="1:76" s="25" customFormat="1" ht="15.75" x14ac:dyDescent="0.25">
      <c r="A81" s="89"/>
      <c r="B81" s="268">
        <v>14</v>
      </c>
      <c r="C81" s="120" t="str">
        <f t="shared" si="11"/>
        <v/>
      </c>
      <c r="D81" s="212" t="str">
        <f t="shared" si="42"/>
        <v/>
      </c>
      <c r="E81" s="170" t="str">
        <f t="shared" si="12"/>
        <v/>
      </c>
      <c r="F81" s="664"/>
      <c r="G81" s="665"/>
      <c r="H81" s="167" t="str">
        <f t="shared" si="13"/>
        <v/>
      </c>
      <c r="I81" s="325" t="str">
        <f t="shared" si="43"/>
        <v/>
      </c>
      <c r="J81" s="670" t="str">
        <f>IFERROR(IF(F81="","",VLOOKUP(F81,'10. Condition and Temporal'!$B$6:$F$103,5,FALSE)), "Error ▲")</f>
        <v/>
      </c>
      <c r="K81" s="671"/>
      <c r="L81" s="287" t="str">
        <f t="shared" si="44"/>
        <v/>
      </c>
      <c r="M81" s="680" t="str">
        <f t="shared" si="45"/>
        <v/>
      </c>
      <c r="N81" s="681"/>
      <c r="O81" s="74"/>
      <c r="P81" s="12"/>
      <c r="R81" s="646"/>
      <c r="T81" s="181" t="str">
        <f t="shared" si="14"/>
        <v/>
      </c>
      <c r="U81" s="115" t="str">
        <f t="shared" si="46"/>
        <v/>
      </c>
      <c r="V81" s="94" t="str">
        <f t="shared" si="15"/>
        <v/>
      </c>
      <c r="W81" s="93" t="str">
        <f t="shared" si="15"/>
        <v/>
      </c>
      <c r="X81" s="94" t="str">
        <f t="shared" si="15"/>
        <v/>
      </c>
      <c r="Y81" s="376"/>
      <c r="Z81" s="347"/>
      <c r="AA81" s="515"/>
      <c r="AB81" s="93" t="str">
        <f t="shared" si="16"/>
        <v/>
      </c>
      <c r="AC81" s="116" t="str">
        <f t="shared" si="17"/>
        <v/>
      </c>
      <c r="AD81" s="181" t="str">
        <f t="shared" si="50"/>
        <v/>
      </c>
      <c r="AE81" s="181" t="str">
        <f t="shared" si="47"/>
        <v/>
      </c>
      <c r="AF81" s="519" t="str">
        <f t="shared" si="18"/>
        <v/>
      </c>
      <c r="AG81" s="115" t="str">
        <f>IF(D81="","",VLOOKUP(F81,'9. All Habitats + Multipliers'!$C$4:$K$102,5,FALSE))</f>
        <v/>
      </c>
      <c r="AH81" s="348" t="str">
        <f>IF(AG81="","",VLOOKUP(AG81,'11. Lists'!$B$47:$D$49,2,FALSE))</f>
        <v/>
      </c>
      <c r="AI81" s="93" t="str">
        <f t="shared" si="19"/>
        <v/>
      </c>
      <c r="AJ81" s="94" t="str">
        <f>IF(AI81="","",VLOOKUP(AI81,'11. Lists'!$F$47:$G$51,2,FALSE))</f>
        <v/>
      </c>
      <c r="AK81" s="376"/>
      <c r="AL81" s="347"/>
      <c r="AM81" s="515"/>
      <c r="AN81" s="93" t="str">
        <f t="shared" si="20"/>
        <v/>
      </c>
      <c r="AO81" s="95" t="str">
        <f>IF(AN81="","",VLOOKUP(AN81,'11. Lists'!$F$36:$H$38,2,FALSE))</f>
        <v/>
      </c>
      <c r="AP81" s="94" t="str">
        <f>IF(AN81="","",VLOOKUP(AN81,'11. Lists'!$F$36:$H$38,3,FALSE))</f>
        <v/>
      </c>
      <c r="AQ81" s="115" t="str">
        <f>IF(D81="","",IF(AX81="Distinctiveness","N/A",VLOOKUP(F81,'10. Condition and Temporal'!$B$6:$L$103,11,FALSE)))</f>
        <v/>
      </c>
      <c r="AR81" s="119" t="str">
        <f>IF(AQ81="","",IF(AQ81="N/A","1",VLOOKUP(AQ81,'11. Lists'!$I$47:$K$80,3,FALSE)))</f>
        <v/>
      </c>
      <c r="AS81" s="532" t="str">
        <f>IF(D81="","",IF(AX81="Condition","N/A",VLOOKUP(F81,'10. Condition and Temporal'!$B$6:$M$106,12,FALSE)))</f>
        <v/>
      </c>
      <c r="AT81" s="119" t="str">
        <f>IF(AS81="","",IF(AS81="N/A","1",VLOOKUP(AS81,'11. Lists'!$I$47:$K$80,3,FALSE)))</f>
        <v/>
      </c>
      <c r="AU81" s="115" t="str">
        <f>IF(D81="","",VLOOKUP(F81,'9. All Habitats + Multipliers'!$C$4:$K$102,8,FALSE))</f>
        <v/>
      </c>
      <c r="AV81" s="116" t="str">
        <f>IF(AU81="","",VLOOKUP(AU81,'11. Lists'!$J$35:$K$38,2,FALSE))</f>
        <v/>
      </c>
      <c r="AW81" s="181" t="str">
        <f>IF(D81="","",VLOOKUP(D81,'10. Condition and Temporal'!$B$6:$M$103,4,FALSE))</f>
        <v/>
      </c>
      <c r="AX81" s="181" t="str">
        <f t="shared" si="21"/>
        <v/>
      </c>
      <c r="AY81" s="471"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8" t="str">
        <f t="shared" si="49"/>
        <v/>
      </c>
      <c r="BW81" s="95" t="s">
        <v>179</v>
      </c>
      <c r="BX81" s="95">
        <f>BO66</f>
        <v>0</v>
      </c>
    </row>
    <row r="82" spans="1:76" s="25" customFormat="1" ht="15.75" x14ac:dyDescent="0.25">
      <c r="A82" s="89"/>
      <c r="B82" s="268">
        <v>15</v>
      </c>
      <c r="C82" s="120" t="str">
        <f t="shared" si="11"/>
        <v/>
      </c>
      <c r="D82" s="212" t="str">
        <f t="shared" si="42"/>
        <v/>
      </c>
      <c r="E82" s="170" t="str">
        <f t="shared" si="12"/>
        <v/>
      </c>
      <c r="F82" s="664"/>
      <c r="G82" s="665"/>
      <c r="H82" s="167" t="str">
        <f t="shared" si="13"/>
        <v/>
      </c>
      <c r="I82" s="325" t="str">
        <f t="shared" si="43"/>
        <v/>
      </c>
      <c r="J82" s="670" t="str">
        <f>IFERROR(IF(F82="","",VLOOKUP(F82,'10. Condition and Temporal'!$B$6:$F$103,5,FALSE)), "Error ▲")</f>
        <v/>
      </c>
      <c r="K82" s="671"/>
      <c r="L82" s="287" t="str">
        <f t="shared" si="44"/>
        <v/>
      </c>
      <c r="M82" s="680" t="str">
        <f t="shared" si="45"/>
        <v/>
      </c>
      <c r="N82" s="681"/>
      <c r="O82" s="74"/>
      <c r="P82" s="12"/>
      <c r="R82" s="646"/>
      <c r="T82" s="181" t="str">
        <f t="shared" si="14"/>
        <v/>
      </c>
      <c r="U82" s="115" t="str">
        <f t="shared" si="46"/>
        <v/>
      </c>
      <c r="V82" s="94" t="str">
        <f t="shared" si="15"/>
        <v/>
      </c>
      <c r="W82" s="93" t="str">
        <f t="shared" si="15"/>
        <v/>
      </c>
      <c r="X82" s="94" t="str">
        <f t="shared" si="15"/>
        <v/>
      </c>
      <c r="Y82" s="376"/>
      <c r="Z82" s="347"/>
      <c r="AA82" s="515"/>
      <c r="AB82" s="93" t="str">
        <f t="shared" si="16"/>
        <v/>
      </c>
      <c r="AC82" s="116" t="str">
        <f t="shared" si="17"/>
        <v/>
      </c>
      <c r="AD82" s="181" t="str">
        <f t="shared" si="50"/>
        <v/>
      </c>
      <c r="AE82" s="181" t="str">
        <f t="shared" si="47"/>
        <v/>
      </c>
      <c r="AF82" s="519" t="str">
        <f t="shared" si="18"/>
        <v/>
      </c>
      <c r="AG82" s="115" t="str">
        <f>IF(D82="","",VLOOKUP(F82,'9. All Habitats + Multipliers'!$C$4:$K$102,5,FALSE))</f>
        <v/>
      </c>
      <c r="AH82" s="348" t="str">
        <f>IF(AG82="","",VLOOKUP(AG82,'11. Lists'!$B$47:$D$49,2,FALSE))</f>
        <v/>
      </c>
      <c r="AI82" s="93" t="str">
        <f t="shared" si="19"/>
        <v/>
      </c>
      <c r="AJ82" s="94" t="str">
        <f>IF(AI82="","",VLOOKUP(AI82,'11. Lists'!$F$47:$G$51,2,FALSE))</f>
        <v/>
      </c>
      <c r="AK82" s="376"/>
      <c r="AL82" s="347"/>
      <c r="AM82" s="515"/>
      <c r="AN82" s="93" t="str">
        <f t="shared" si="20"/>
        <v/>
      </c>
      <c r="AO82" s="95" t="str">
        <f>IF(AN82="","",VLOOKUP(AN82,'11. Lists'!$F$36:$H$38,2,FALSE))</f>
        <v/>
      </c>
      <c r="AP82" s="94" t="str">
        <f>IF(AN82="","",VLOOKUP(AN82,'11. Lists'!$F$36:$H$38,3,FALSE))</f>
        <v/>
      </c>
      <c r="AQ82" s="115" t="str">
        <f>IF(D82="","",IF(AX82="Distinctiveness","N/A",VLOOKUP(F82,'10. Condition and Temporal'!$B$6:$L$103,11,FALSE)))</f>
        <v/>
      </c>
      <c r="AR82" s="119" t="str">
        <f>IF(AQ82="","",IF(AQ82="N/A","1",VLOOKUP(AQ82,'11. Lists'!$I$47:$K$80,3,FALSE)))</f>
        <v/>
      </c>
      <c r="AS82" s="532" t="str">
        <f>IF(D82="","",IF(AX82="Condition","N/A",VLOOKUP(F82,'10. Condition and Temporal'!$B$6:$M$106,12,FALSE)))</f>
        <v/>
      </c>
      <c r="AT82" s="119" t="str">
        <f>IF(AS82="","",IF(AS82="N/A","1",VLOOKUP(AS82,'11. Lists'!$I$47:$K$80,3,FALSE)))</f>
        <v/>
      </c>
      <c r="AU82" s="115" t="str">
        <f>IF(D82="","",VLOOKUP(F82,'9. All Habitats + Multipliers'!$C$4:$K$102,8,FALSE))</f>
        <v/>
      </c>
      <c r="AV82" s="116" t="str">
        <f>IF(AU82="","",VLOOKUP(AU82,'11. Lists'!$J$35:$K$38,2,FALSE))</f>
        <v/>
      </c>
      <c r="AW82" s="181" t="str">
        <f>IF(D82="","",VLOOKUP(D82,'10. Condition and Temporal'!$B$6:$M$103,4,FALSE))</f>
        <v/>
      </c>
      <c r="AX82" s="181" t="str">
        <f t="shared" si="21"/>
        <v/>
      </c>
      <c r="AY82" s="471"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8" t="str">
        <f t="shared" si="49"/>
        <v/>
      </c>
      <c r="BW82" s="95" t="s">
        <v>180</v>
      </c>
      <c r="BX82" s="95">
        <f>BP66</f>
        <v>0</v>
      </c>
    </row>
    <row r="83" spans="1:76" s="25" customFormat="1" ht="15.75" x14ac:dyDescent="0.25">
      <c r="A83" s="89"/>
      <c r="B83" s="268">
        <v>16</v>
      </c>
      <c r="C83" s="120" t="str">
        <f t="shared" si="11"/>
        <v/>
      </c>
      <c r="D83" s="212" t="str">
        <f t="shared" si="42"/>
        <v/>
      </c>
      <c r="E83" s="170" t="str">
        <f t="shared" si="12"/>
        <v/>
      </c>
      <c r="F83" s="664"/>
      <c r="G83" s="665"/>
      <c r="H83" s="167" t="str">
        <f t="shared" si="13"/>
        <v/>
      </c>
      <c r="I83" s="325" t="str">
        <f t="shared" si="43"/>
        <v/>
      </c>
      <c r="J83" s="670" t="str">
        <f>IFERROR(IF(F83="","",VLOOKUP(F83,'10. Condition and Temporal'!$B$6:$F$103,5,FALSE)), "Error ▲")</f>
        <v/>
      </c>
      <c r="K83" s="671"/>
      <c r="L83" s="287" t="str">
        <f t="shared" si="44"/>
        <v/>
      </c>
      <c r="M83" s="680" t="str">
        <f t="shared" si="45"/>
        <v/>
      </c>
      <c r="N83" s="681"/>
      <c r="O83" s="74"/>
      <c r="P83" s="12"/>
      <c r="R83" s="646"/>
      <c r="T83" s="181" t="str">
        <f t="shared" si="14"/>
        <v/>
      </c>
      <c r="U83" s="115" t="str">
        <f t="shared" si="46"/>
        <v/>
      </c>
      <c r="V83" s="94" t="str">
        <f t="shared" si="15"/>
        <v/>
      </c>
      <c r="W83" s="93" t="str">
        <f t="shared" si="15"/>
        <v/>
      </c>
      <c r="X83" s="94" t="str">
        <f t="shared" si="15"/>
        <v/>
      </c>
      <c r="Y83" s="376"/>
      <c r="Z83" s="347"/>
      <c r="AA83" s="515"/>
      <c r="AB83" s="93" t="str">
        <f t="shared" si="16"/>
        <v/>
      </c>
      <c r="AC83" s="116" t="str">
        <f t="shared" si="17"/>
        <v/>
      </c>
      <c r="AD83" s="181" t="str">
        <f t="shared" si="50"/>
        <v/>
      </c>
      <c r="AE83" s="181" t="str">
        <f t="shared" si="47"/>
        <v/>
      </c>
      <c r="AF83" s="519" t="str">
        <f t="shared" si="18"/>
        <v/>
      </c>
      <c r="AG83" s="115" t="str">
        <f>IF(D83="","",VLOOKUP(F83,'9. All Habitats + Multipliers'!$C$4:$K$102,5,FALSE))</f>
        <v/>
      </c>
      <c r="AH83" s="348" t="str">
        <f>IF(AG83="","",VLOOKUP(AG83,'11. Lists'!$B$47:$D$49,2,FALSE))</f>
        <v/>
      </c>
      <c r="AI83" s="93" t="str">
        <f t="shared" si="19"/>
        <v/>
      </c>
      <c r="AJ83" s="94" t="str">
        <f>IF(AI83="","",VLOOKUP(AI83,'11. Lists'!$F$47:$G$51,2,FALSE))</f>
        <v/>
      </c>
      <c r="AK83" s="376"/>
      <c r="AL83" s="347"/>
      <c r="AM83" s="515"/>
      <c r="AN83" s="93" t="str">
        <f t="shared" si="20"/>
        <v/>
      </c>
      <c r="AO83" s="95" t="str">
        <f>IF(AN83="","",VLOOKUP(AN83,'11. Lists'!$F$36:$H$38,2,FALSE))</f>
        <v/>
      </c>
      <c r="AP83" s="94" t="str">
        <f>IF(AN83="","",VLOOKUP(AN83,'11. Lists'!$F$36:$H$38,3,FALSE))</f>
        <v/>
      </c>
      <c r="AQ83" s="115" t="str">
        <f>IF(D83="","",IF(AX83="Distinctiveness","N/A",VLOOKUP(F83,'10. Condition and Temporal'!$B$6:$L$103,11,FALSE)))</f>
        <v/>
      </c>
      <c r="AR83" s="119" t="str">
        <f>IF(AQ83="","",IF(AQ83="N/A","1",VLOOKUP(AQ83,'11. Lists'!$I$47:$K$80,3,FALSE)))</f>
        <v/>
      </c>
      <c r="AS83" s="532" t="str">
        <f>IF(D83="","",IF(AX83="Condition","N/A",VLOOKUP(F83,'10. Condition and Temporal'!$B$6:$M$106,12,FALSE)))</f>
        <v/>
      </c>
      <c r="AT83" s="119" t="str">
        <f>IF(AS83="","",IF(AS83="N/A","1",VLOOKUP(AS83,'11. Lists'!$I$47:$K$80,3,FALSE)))</f>
        <v/>
      </c>
      <c r="AU83" s="115" t="str">
        <f>IF(D83="","",VLOOKUP(F83,'9. All Habitats + Multipliers'!$C$4:$K$102,8,FALSE))</f>
        <v/>
      </c>
      <c r="AV83" s="116" t="str">
        <f>IF(AU83="","",VLOOKUP(AU83,'11. Lists'!$J$35:$K$38,2,FALSE))</f>
        <v/>
      </c>
      <c r="AW83" s="181" t="str">
        <f>IF(D83="","",VLOOKUP(D83,'10. Condition and Temporal'!$B$6:$M$103,4,FALSE))</f>
        <v/>
      </c>
      <c r="AX83" s="181" t="str">
        <f t="shared" si="21"/>
        <v/>
      </c>
      <c r="AY83" s="471"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8" t="str">
        <f t="shared" si="49"/>
        <v/>
      </c>
      <c r="BW83" s="95" t="s">
        <v>181</v>
      </c>
      <c r="BX83" s="95">
        <f>BQ66</f>
        <v>0</v>
      </c>
    </row>
    <row r="84" spans="1:76" s="25" customFormat="1" ht="15.75" x14ac:dyDescent="0.25">
      <c r="A84" s="89"/>
      <c r="B84" s="268">
        <v>17</v>
      </c>
      <c r="C84" s="120" t="str">
        <f t="shared" si="11"/>
        <v/>
      </c>
      <c r="D84" s="212" t="str">
        <f t="shared" si="42"/>
        <v/>
      </c>
      <c r="E84" s="170" t="str">
        <f t="shared" si="12"/>
        <v/>
      </c>
      <c r="F84" s="664"/>
      <c r="G84" s="665"/>
      <c r="H84" s="167" t="str">
        <f t="shared" si="13"/>
        <v/>
      </c>
      <c r="I84" s="325" t="str">
        <f t="shared" si="43"/>
        <v/>
      </c>
      <c r="J84" s="670" t="str">
        <f>IFERROR(IF(F84="","",VLOOKUP(F84,'10. Condition and Temporal'!$B$6:$F$103,5,FALSE)), "Error ▲")</f>
        <v/>
      </c>
      <c r="K84" s="671"/>
      <c r="L84" s="287" t="str">
        <f t="shared" si="44"/>
        <v/>
      </c>
      <c r="M84" s="680" t="str">
        <f t="shared" si="45"/>
        <v/>
      </c>
      <c r="N84" s="681"/>
      <c r="O84" s="74"/>
      <c r="P84" s="12"/>
      <c r="R84" s="646"/>
      <c r="T84" s="181" t="str">
        <f t="shared" si="14"/>
        <v/>
      </c>
      <c r="U84" s="115" t="str">
        <f t="shared" si="46"/>
        <v/>
      </c>
      <c r="V84" s="94" t="str">
        <f t="shared" si="15"/>
        <v/>
      </c>
      <c r="W84" s="93" t="str">
        <f t="shared" si="15"/>
        <v/>
      </c>
      <c r="X84" s="94" t="str">
        <f t="shared" si="15"/>
        <v/>
      </c>
      <c r="Y84" s="376"/>
      <c r="Z84" s="347"/>
      <c r="AA84" s="515"/>
      <c r="AB84" s="93" t="str">
        <f t="shared" si="16"/>
        <v/>
      </c>
      <c r="AC84" s="116" t="str">
        <f t="shared" si="17"/>
        <v/>
      </c>
      <c r="AD84" s="181" t="str">
        <f t="shared" si="50"/>
        <v/>
      </c>
      <c r="AE84" s="181" t="str">
        <f t="shared" si="47"/>
        <v/>
      </c>
      <c r="AF84" s="519" t="str">
        <f t="shared" si="18"/>
        <v/>
      </c>
      <c r="AG84" s="115" t="str">
        <f>IF(D84="","",VLOOKUP(F84,'9. All Habitats + Multipliers'!$C$4:$K$102,5,FALSE))</f>
        <v/>
      </c>
      <c r="AH84" s="348" t="str">
        <f>IF(AG84="","",VLOOKUP(AG84,'11. Lists'!$B$47:$D$49,2,FALSE))</f>
        <v/>
      </c>
      <c r="AI84" s="93" t="str">
        <f t="shared" si="19"/>
        <v/>
      </c>
      <c r="AJ84" s="94" t="str">
        <f>IF(AI84="","",VLOOKUP(AI84,'11. Lists'!$F$47:$G$51,2,FALSE))</f>
        <v/>
      </c>
      <c r="AK84" s="376"/>
      <c r="AL84" s="347"/>
      <c r="AM84" s="515"/>
      <c r="AN84" s="93" t="str">
        <f t="shared" si="20"/>
        <v/>
      </c>
      <c r="AO84" s="95" t="str">
        <f>IF(AN84="","",VLOOKUP(AN84,'11. Lists'!$F$36:$H$38,2,FALSE))</f>
        <v/>
      </c>
      <c r="AP84" s="94" t="str">
        <f>IF(AN84="","",VLOOKUP(AN84,'11. Lists'!$F$36:$H$38,3,FALSE))</f>
        <v/>
      </c>
      <c r="AQ84" s="115" t="str">
        <f>IF(D84="","",IF(AX84="Distinctiveness","N/A",VLOOKUP(F84,'10. Condition and Temporal'!$B$6:$L$103,11,FALSE)))</f>
        <v/>
      </c>
      <c r="AR84" s="119" t="str">
        <f>IF(AQ84="","",IF(AQ84="N/A","1",VLOOKUP(AQ84,'11. Lists'!$I$47:$K$80,3,FALSE)))</f>
        <v/>
      </c>
      <c r="AS84" s="532" t="str">
        <f>IF(D84="","",IF(AX84="Condition","N/A",VLOOKUP(F84,'10. Condition and Temporal'!$B$6:$M$106,12,FALSE)))</f>
        <v/>
      </c>
      <c r="AT84" s="119" t="str">
        <f>IF(AS84="","",IF(AS84="N/A","1",VLOOKUP(AS84,'11. Lists'!$I$47:$K$80,3,FALSE)))</f>
        <v/>
      </c>
      <c r="AU84" s="115" t="str">
        <f>IF(D84="","",VLOOKUP(F84,'9. All Habitats + Multipliers'!$C$4:$K$102,8,FALSE))</f>
        <v/>
      </c>
      <c r="AV84" s="116" t="str">
        <f>IF(AU84="","",VLOOKUP(AU84,'11. Lists'!$J$35:$K$38,2,FALSE))</f>
        <v/>
      </c>
      <c r="AW84" s="181" t="str">
        <f>IF(D84="","",VLOOKUP(D84,'10. Condition and Temporal'!$B$6:$M$103,4,FALSE))</f>
        <v/>
      </c>
      <c r="AX84" s="181" t="str">
        <f t="shared" si="21"/>
        <v/>
      </c>
      <c r="AY84" s="471"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8" t="str">
        <f t="shared" si="49"/>
        <v/>
      </c>
      <c r="BW84" s="95" t="s">
        <v>182</v>
      </c>
      <c r="BX84" s="95">
        <f>BR66</f>
        <v>0</v>
      </c>
    </row>
    <row r="85" spans="1:76" s="25" customFormat="1" ht="15.75" x14ac:dyDescent="0.25">
      <c r="A85" s="89"/>
      <c r="B85" s="268">
        <v>18</v>
      </c>
      <c r="C85" s="120" t="str">
        <f t="shared" si="11"/>
        <v/>
      </c>
      <c r="D85" s="212" t="str">
        <f t="shared" si="42"/>
        <v/>
      </c>
      <c r="E85" s="170" t="str">
        <f t="shared" si="12"/>
        <v/>
      </c>
      <c r="F85" s="664"/>
      <c r="G85" s="665"/>
      <c r="H85" s="167" t="str">
        <f t="shared" si="13"/>
        <v/>
      </c>
      <c r="I85" s="325" t="str">
        <f t="shared" si="43"/>
        <v/>
      </c>
      <c r="J85" s="670" t="str">
        <f>IFERROR(IF(F85="","",VLOOKUP(F85,'10. Condition and Temporal'!$B$6:$F$103,5,FALSE)), "Error ▲")</f>
        <v/>
      </c>
      <c r="K85" s="671"/>
      <c r="L85" s="287" t="str">
        <f t="shared" si="44"/>
        <v/>
      </c>
      <c r="M85" s="680" t="str">
        <f t="shared" si="45"/>
        <v/>
      </c>
      <c r="N85" s="681"/>
      <c r="O85" s="74"/>
      <c r="P85" s="12"/>
      <c r="R85" s="646"/>
      <c r="T85" s="181" t="str">
        <f t="shared" si="14"/>
        <v/>
      </c>
      <c r="U85" s="115" t="str">
        <f t="shared" si="46"/>
        <v/>
      </c>
      <c r="V85" s="94" t="str">
        <f t="shared" si="15"/>
        <v/>
      </c>
      <c r="W85" s="93" t="str">
        <f t="shared" si="15"/>
        <v/>
      </c>
      <c r="X85" s="94" t="str">
        <f t="shared" si="15"/>
        <v/>
      </c>
      <c r="Y85" s="376"/>
      <c r="Z85" s="347"/>
      <c r="AA85" s="515"/>
      <c r="AB85" s="93" t="str">
        <f t="shared" si="16"/>
        <v/>
      </c>
      <c r="AC85" s="116" t="str">
        <f t="shared" si="17"/>
        <v/>
      </c>
      <c r="AD85" s="181" t="str">
        <f t="shared" si="50"/>
        <v/>
      </c>
      <c r="AE85" s="181" t="str">
        <f t="shared" si="47"/>
        <v/>
      </c>
      <c r="AF85" s="519" t="str">
        <f t="shared" si="18"/>
        <v/>
      </c>
      <c r="AG85" s="115" t="str">
        <f>IF(D85="","",VLOOKUP(F85,'9. All Habitats + Multipliers'!$C$4:$K$102,5,FALSE))</f>
        <v/>
      </c>
      <c r="AH85" s="348" t="str">
        <f>IF(AG85="","",VLOOKUP(AG85,'11. Lists'!$B$47:$D$49,2,FALSE))</f>
        <v/>
      </c>
      <c r="AI85" s="93" t="str">
        <f t="shared" si="19"/>
        <v/>
      </c>
      <c r="AJ85" s="94" t="str">
        <f>IF(AI85="","",VLOOKUP(AI85,'11. Lists'!$F$47:$G$51,2,FALSE))</f>
        <v/>
      </c>
      <c r="AK85" s="376"/>
      <c r="AL85" s="347"/>
      <c r="AM85" s="515"/>
      <c r="AN85" s="93" t="str">
        <f t="shared" si="20"/>
        <v/>
      </c>
      <c r="AO85" s="95" t="str">
        <f>IF(AN85="","",VLOOKUP(AN85,'11. Lists'!$F$36:$H$38,2,FALSE))</f>
        <v/>
      </c>
      <c r="AP85" s="94" t="str">
        <f>IF(AN85="","",VLOOKUP(AN85,'11. Lists'!$F$36:$H$38,3,FALSE))</f>
        <v/>
      </c>
      <c r="AQ85" s="115" t="str">
        <f>IF(D85="","",IF(AX85="Distinctiveness","N/A",VLOOKUP(F85,'10. Condition and Temporal'!$B$6:$L$103,11,FALSE)))</f>
        <v/>
      </c>
      <c r="AR85" s="119" t="str">
        <f>IF(AQ85="","",IF(AQ85="N/A","1",VLOOKUP(AQ85,'11. Lists'!$I$47:$K$80,3,FALSE)))</f>
        <v/>
      </c>
      <c r="AS85" s="532" t="str">
        <f>IF(D85="","",IF(AX85="Condition","N/A",VLOOKUP(F85,'10. Condition and Temporal'!$B$6:$M$106,12,FALSE)))</f>
        <v/>
      </c>
      <c r="AT85" s="119" t="str">
        <f>IF(AS85="","",IF(AS85="N/A","1",VLOOKUP(AS85,'11. Lists'!$I$47:$K$80,3,FALSE)))</f>
        <v/>
      </c>
      <c r="AU85" s="115" t="str">
        <f>IF(D85="","",VLOOKUP(F85,'9. All Habitats + Multipliers'!$C$4:$K$102,8,FALSE))</f>
        <v/>
      </c>
      <c r="AV85" s="116" t="str">
        <f>IF(AU85="","",VLOOKUP(AU85,'11. Lists'!$J$35:$K$38,2,FALSE))</f>
        <v/>
      </c>
      <c r="AW85" s="181" t="str">
        <f>IF(D85="","",VLOOKUP(D85,'10. Condition and Temporal'!$B$6:$M$103,4,FALSE))</f>
        <v/>
      </c>
      <c r="AX85" s="181" t="str">
        <f t="shared" si="21"/>
        <v/>
      </c>
      <c r="AY85" s="471"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8" t="str">
        <f t="shared" si="49"/>
        <v/>
      </c>
      <c r="BW85" s="95" t="s">
        <v>183</v>
      </c>
      <c r="BX85" s="95">
        <f>BS66</f>
        <v>0</v>
      </c>
    </row>
    <row r="86" spans="1:76" s="25" customFormat="1" ht="15.75" x14ac:dyDescent="0.25">
      <c r="A86" s="89"/>
      <c r="B86" s="268">
        <v>19</v>
      </c>
      <c r="C86" s="120" t="str">
        <f t="shared" si="11"/>
        <v/>
      </c>
      <c r="D86" s="212" t="str">
        <f t="shared" si="42"/>
        <v/>
      </c>
      <c r="E86" s="170" t="str">
        <f t="shared" si="12"/>
        <v/>
      </c>
      <c r="F86" s="664"/>
      <c r="G86" s="665"/>
      <c r="H86" s="167" t="str">
        <f t="shared" si="13"/>
        <v/>
      </c>
      <c r="I86" s="325" t="str">
        <f t="shared" si="43"/>
        <v/>
      </c>
      <c r="J86" s="670" t="str">
        <f>IFERROR(IF(F86="","",VLOOKUP(F86,'10. Condition and Temporal'!$B$6:$F$103,5,FALSE)), "Error ▲")</f>
        <v/>
      </c>
      <c r="K86" s="671"/>
      <c r="L86" s="287" t="str">
        <f t="shared" si="44"/>
        <v/>
      </c>
      <c r="M86" s="680" t="str">
        <f t="shared" si="45"/>
        <v/>
      </c>
      <c r="N86" s="681"/>
      <c r="O86" s="74"/>
      <c r="P86" s="12"/>
      <c r="R86" s="646"/>
      <c r="T86" s="181" t="str">
        <f t="shared" si="14"/>
        <v/>
      </c>
      <c r="U86" s="115" t="str">
        <f t="shared" si="46"/>
        <v/>
      </c>
      <c r="V86" s="94" t="str">
        <f t="shared" si="15"/>
        <v/>
      </c>
      <c r="W86" s="93" t="str">
        <f t="shared" si="15"/>
        <v/>
      </c>
      <c r="X86" s="94" t="str">
        <f t="shared" si="15"/>
        <v/>
      </c>
      <c r="Y86" s="376"/>
      <c r="Z86" s="347"/>
      <c r="AA86" s="515"/>
      <c r="AB86" s="93" t="str">
        <f t="shared" si="16"/>
        <v/>
      </c>
      <c r="AC86" s="116" t="str">
        <f t="shared" si="17"/>
        <v/>
      </c>
      <c r="AD86" s="181" t="str">
        <f t="shared" si="50"/>
        <v/>
      </c>
      <c r="AE86" s="181" t="str">
        <f t="shared" si="47"/>
        <v/>
      </c>
      <c r="AF86" s="519" t="str">
        <f t="shared" si="18"/>
        <v/>
      </c>
      <c r="AG86" s="115" t="str">
        <f>IF(D86="","",VLOOKUP(F86,'9. All Habitats + Multipliers'!$C$4:$K$102,5,FALSE))</f>
        <v/>
      </c>
      <c r="AH86" s="348" t="str">
        <f>IF(AG86="","",VLOOKUP(AG86,'11. Lists'!$B$47:$D$49,2,FALSE))</f>
        <v/>
      </c>
      <c r="AI86" s="93" t="str">
        <f t="shared" si="19"/>
        <v/>
      </c>
      <c r="AJ86" s="94" t="str">
        <f>IF(AI86="","",VLOOKUP(AI86,'11. Lists'!$F$47:$G$51,2,FALSE))</f>
        <v/>
      </c>
      <c r="AK86" s="376"/>
      <c r="AL86" s="347"/>
      <c r="AM86" s="515"/>
      <c r="AN86" s="93" t="str">
        <f t="shared" si="20"/>
        <v/>
      </c>
      <c r="AO86" s="95" t="str">
        <f>IF(AN86="","",VLOOKUP(AN86,'11. Lists'!$F$36:$H$38,2,FALSE))</f>
        <v/>
      </c>
      <c r="AP86" s="94" t="str">
        <f>IF(AN86="","",VLOOKUP(AN86,'11. Lists'!$F$36:$H$38,3,FALSE))</f>
        <v/>
      </c>
      <c r="AQ86" s="115" t="str">
        <f>IF(D86="","",IF(AX86="Distinctiveness","N/A",VLOOKUP(F86,'10. Condition and Temporal'!$B$6:$L$103,11,FALSE)))</f>
        <v/>
      </c>
      <c r="AR86" s="119" t="str">
        <f>IF(AQ86="","",IF(AQ86="N/A","1",VLOOKUP(AQ86,'11. Lists'!$I$47:$K$80,3,FALSE)))</f>
        <v/>
      </c>
      <c r="AS86" s="532" t="str">
        <f>IF(D86="","",IF(AX86="Condition","N/A",VLOOKUP(F86,'10. Condition and Temporal'!$B$6:$M$106,12,FALSE)))</f>
        <v/>
      </c>
      <c r="AT86" s="119" t="str">
        <f>IF(AS86="","",IF(AS86="N/A","1",VLOOKUP(AS86,'11. Lists'!$I$47:$K$80,3,FALSE)))</f>
        <v/>
      </c>
      <c r="AU86" s="115" t="str">
        <f>IF(D86="","",VLOOKUP(F86,'9. All Habitats + Multipliers'!$C$4:$K$102,8,FALSE))</f>
        <v/>
      </c>
      <c r="AV86" s="116" t="str">
        <f>IF(AU86="","",VLOOKUP(AU86,'11. Lists'!$J$35:$K$38,2,FALSE))</f>
        <v/>
      </c>
      <c r="AW86" s="181" t="str">
        <f>IF(D86="","",VLOOKUP(D86,'10. Condition and Temporal'!$B$6:$M$103,4,FALSE))</f>
        <v/>
      </c>
      <c r="AX86" s="181" t="str">
        <f t="shared" si="21"/>
        <v/>
      </c>
      <c r="AY86" s="471"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8" t="str">
        <f t="shared" si="49"/>
        <v/>
      </c>
      <c r="BW86" s="95" t="s">
        <v>184</v>
      </c>
      <c r="BX86" s="95">
        <f>BT66</f>
        <v>0</v>
      </c>
    </row>
    <row r="87" spans="1:76" s="25" customFormat="1" ht="16.5" thickBot="1" x14ac:dyDescent="0.3">
      <c r="A87" s="89"/>
      <c r="B87" s="269">
        <v>20</v>
      </c>
      <c r="C87" s="139" t="str">
        <f t="shared" si="11"/>
        <v/>
      </c>
      <c r="D87" s="428" t="str">
        <f t="shared" si="42"/>
        <v/>
      </c>
      <c r="E87" s="171" t="str">
        <f t="shared" si="12"/>
        <v/>
      </c>
      <c r="F87" s="668"/>
      <c r="G87" s="669"/>
      <c r="H87" s="168" t="str">
        <f t="shared" si="13"/>
        <v/>
      </c>
      <c r="I87" s="435" t="str">
        <f t="shared" si="43"/>
        <v/>
      </c>
      <c r="J87" s="697" t="str">
        <f>IFERROR(IF(F87="","",VLOOKUP(F87,'10. Condition and Temporal'!$B$6:$F$103,5,FALSE)), "Error ▲")</f>
        <v/>
      </c>
      <c r="K87" s="698"/>
      <c r="L87" s="430" t="str">
        <f t="shared" si="44"/>
        <v/>
      </c>
      <c r="M87" s="690" t="str">
        <f t="shared" si="45"/>
        <v/>
      </c>
      <c r="N87" s="691"/>
      <c r="O87" s="75"/>
      <c r="P87" s="14"/>
      <c r="R87" s="646"/>
      <c r="T87" s="182" t="str">
        <f t="shared" si="14"/>
        <v/>
      </c>
      <c r="U87" s="511" t="str">
        <f t="shared" si="46"/>
        <v/>
      </c>
      <c r="V87" s="99" t="str">
        <f t="shared" si="15"/>
        <v/>
      </c>
      <c r="W87" s="98" t="str">
        <f t="shared" si="15"/>
        <v/>
      </c>
      <c r="X87" s="99" t="str">
        <f t="shared" si="15"/>
        <v/>
      </c>
      <c r="Y87" s="512"/>
      <c r="Z87" s="351"/>
      <c r="AA87" s="516"/>
      <c r="AB87" s="98" t="str">
        <f t="shared" si="16"/>
        <v/>
      </c>
      <c r="AC87" s="517" t="str">
        <f t="shared" si="17"/>
        <v/>
      </c>
      <c r="AD87" s="182" t="str">
        <f t="shared" si="50"/>
        <v/>
      </c>
      <c r="AE87" s="182" t="str">
        <f t="shared" si="47"/>
        <v/>
      </c>
      <c r="AF87" s="520" t="str">
        <f t="shared" si="18"/>
        <v/>
      </c>
      <c r="AG87" s="511" t="str">
        <f>IF(D87="","",VLOOKUP(F87,'9. All Habitats + Multipliers'!$C$4:$K$102,5,FALSE))</f>
        <v/>
      </c>
      <c r="AH87" s="484" t="str">
        <f>IF(AG87="","",VLOOKUP(AG87,'11. Lists'!$B$47:$D$49,2,FALSE))</f>
        <v/>
      </c>
      <c r="AI87" s="98" t="str">
        <f t="shared" si="19"/>
        <v/>
      </c>
      <c r="AJ87" s="99" t="str">
        <f>IF(AI87="","",VLOOKUP(AI87,'11. Lists'!$F$47:$G$51,2,FALSE))</f>
        <v/>
      </c>
      <c r="AK87" s="376"/>
      <c r="AL87" s="347"/>
      <c r="AM87" s="515"/>
      <c r="AN87" s="98" t="str">
        <f t="shared" si="20"/>
        <v/>
      </c>
      <c r="AO87" s="100" t="str">
        <f>IF(AN87="","",VLOOKUP(AN87,'11. Lists'!$F$36:$H$38,2,FALSE))</f>
        <v/>
      </c>
      <c r="AP87" s="99" t="str">
        <f>IF(AN87="","",VLOOKUP(AN87,'11. Lists'!$F$36:$H$38,3,FALSE))</f>
        <v/>
      </c>
      <c r="AQ87" s="511" t="str">
        <f>IF(D87="","",IF(AX87="Distinctiveness","N/A",VLOOKUP(F87,'10. Condition and Temporal'!$B$6:$L$103,11,FALSE)))</f>
        <v/>
      </c>
      <c r="AR87" s="529" t="str">
        <f>IF(AQ87="","",IF(AQ87="N/A","1",VLOOKUP(AQ87,'11. Lists'!$I$47:$K$80,3,FALSE)))</f>
        <v/>
      </c>
      <c r="AS87" s="533" t="str">
        <f>IF(D87="","",IF(AX87="Condition","N/A",VLOOKUP(F87,'10. Condition and Temporal'!$B$6:$M$106,12,FALSE)))</f>
        <v/>
      </c>
      <c r="AT87" s="529" t="str">
        <f>IF(AS87="","",IF(AS87="N/A","1",VLOOKUP(AS87,'11. Lists'!$I$47:$K$80,3,FALSE)))</f>
        <v/>
      </c>
      <c r="AU87" s="511" t="str">
        <f>IF(D87="","",VLOOKUP(F87,'9. All Habitats + Multipliers'!$C$4:$K$102,8,FALSE))</f>
        <v/>
      </c>
      <c r="AV87" s="517" t="str">
        <f>IF(AU87="","",VLOOKUP(AU87,'11. Lists'!$J$35:$K$38,2,FALSE))</f>
        <v/>
      </c>
      <c r="AW87" s="182" t="str">
        <f>IF(D87="","",VLOOKUP(D87,'10. Condition and Temporal'!$B$6:$M$103,4,FALSE))</f>
        <v/>
      </c>
      <c r="AX87" s="182" t="str">
        <f t="shared" si="21"/>
        <v/>
      </c>
      <c r="AY87" s="472"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8" t="str">
        <f t="shared" si="49"/>
        <v/>
      </c>
      <c r="BW87" s="95" t="s">
        <v>185</v>
      </c>
      <c r="BX87" s="95">
        <f>BU66</f>
        <v>0</v>
      </c>
    </row>
    <row r="88" spans="1:76" s="25" customFormat="1" ht="32.65" hidden="1" customHeight="1" thickBot="1" x14ac:dyDescent="0.3">
      <c r="A88" s="89"/>
      <c r="B88" s="271" t="s">
        <v>101</v>
      </c>
      <c r="C88" s="97" t="s">
        <v>102</v>
      </c>
      <c r="D88" s="410" t="s">
        <v>103</v>
      </c>
      <c r="E88" s="97" t="str">
        <f t="shared" si="12"/>
        <v>Condition</v>
      </c>
      <c r="F88" s="666" t="s">
        <v>103</v>
      </c>
      <c r="G88" s="667"/>
      <c r="H88" s="411" t="s">
        <v>124</v>
      </c>
      <c r="I88" s="412">
        <v>0</v>
      </c>
      <c r="J88" s="830" t="str">
        <f>IF(F88="","",VLOOKUP(F88,'10. Condition and Temporal'!$B$6:$F$103,5,FALSE))</f>
        <v>Good</v>
      </c>
      <c r="K88" s="831"/>
      <c r="L88" s="413">
        <f t="shared" ref="L88" si="51">IFERROR(IF(D88="","",IF(AX88="Distinctiveness",(((((I88*AH88*AJ88)-(I88*V88*X88))*(AV88*AT88))+(I88*V88*X88))*(AP88))/10000,((((I88*AJ88*AH88)-(I88*V88*X88))*(AV88*AR88))+(I88*V88*X88))*AP88/10000)),"This intervention is not permitted within the SSM ▲")</f>
        <v>0</v>
      </c>
      <c r="M88" s="688">
        <f>L88-AD88</f>
        <v>0</v>
      </c>
      <c r="N88" s="689"/>
      <c r="O88" s="414"/>
      <c r="P88" s="39"/>
      <c r="R88" s="646"/>
      <c r="T88" s="174">
        <f t="shared" si="14"/>
        <v>0</v>
      </c>
      <c r="U88" s="175" t="str">
        <f>IF($D88="","",T31)</f>
        <v>Medium</v>
      </c>
      <c r="V88" s="353">
        <f t="shared" si="15"/>
        <v>4</v>
      </c>
      <c r="W88" s="175" t="str">
        <f t="shared" si="15"/>
        <v>Moderate</v>
      </c>
      <c r="X88" s="177">
        <f t="shared" si="15"/>
        <v>2</v>
      </c>
      <c r="Y88" s="352"/>
      <c r="Z88" s="352"/>
      <c r="AA88" s="352"/>
      <c r="AB88" s="177" t="str">
        <f t="shared" si="16"/>
        <v>Formally identified in local strategy</v>
      </c>
      <c r="AC88" s="177">
        <f t="shared" si="17"/>
        <v>1.1499999999999999</v>
      </c>
      <c r="AD88" s="176">
        <f t="shared" ref="AD88" si="52">IF(AC88="","",(T88*V88*X88)*(AA88*AC88)/10000)</f>
        <v>0</v>
      </c>
      <c r="AE88" s="184" t="str">
        <f>IF(AD88="","",IF(AH88&lt;V88,"Not Acceptable","Acceptable"))</f>
        <v>Acceptable</v>
      </c>
      <c r="AF88" s="174">
        <f t="shared" si="18"/>
        <v>0</v>
      </c>
      <c r="AG88" s="175" t="str">
        <f>IF(D88="","",VLOOKUP(F88,'9. All Habitats + Multipliers'!$C$4:$K$102,5,FALSE))</f>
        <v>Medium</v>
      </c>
      <c r="AH88" s="176">
        <f>IF(AG88="","",VLOOKUP(AG88,'11. Lists'!$B$47:$D$49,2,FALSE))</f>
        <v>4</v>
      </c>
      <c r="AI88" s="522" t="str">
        <f t="shared" si="19"/>
        <v>Good</v>
      </c>
      <c r="AJ88" s="511">
        <f>IF(AI88="","",VLOOKUP(AI88,'11. Lists'!$F$47:$G$51,2,FALSE))</f>
        <v>3</v>
      </c>
      <c r="AK88" s="368"/>
      <c r="AL88" s="368"/>
      <c r="AM88" s="368"/>
      <c r="AN88" s="517" t="str">
        <f t="shared" si="20"/>
        <v>Area/compensation not in local strategy/ no local strategy</v>
      </c>
      <c r="AO88" s="525" t="str">
        <f>IF(AN88="","",VLOOKUP(AN88,'11. Lists'!$F$36:$H$38,2,FALSE))</f>
        <v>Low Strategic Significance</v>
      </c>
      <c r="AP88" s="517">
        <f>IF(AN88="","",VLOOKUP(AN88,'11. Lists'!$F$36:$H$38,3,FALSE))</f>
        <v>1</v>
      </c>
      <c r="AQ88" s="175">
        <f>IF(D88="","",VLOOKUP(F88,'10. Condition and Temporal'!$B$6:$L$103,11,FALSE))</f>
        <v>16</v>
      </c>
      <c r="AR88" s="179">
        <f>IF(AQ88="","",VLOOKUP(AQ88,'11. Lists'!$I$47:$K$80,3,FALSE))</f>
        <v>0.56550573479999999</v>
      </c>
      <c r="AS88" s="530" t="str">
        <f>IF(D88="","",VLOOKUP(F88,'10. Condition and Temporal'!$B$6:$M$106,12,FALSE))</f>
        <v>Not Possible</v>
      </c>
      <c r="AT88" s="119" t="str">
        <f>IF(AS88="","",IF(AS88="N/A","1",VLOOKUP(AS88,'11. Lists'!$I$47:$K$80,3,FALSE)))</f>
        <v>N/A</v>
      </c>
      <c r="AU88" s="178" t="str">
        <f>IF(D88="","",VLOOKUP(F88,'9. All Habitats + Multipliers'!$C$4:$K$102,8,FALSE))</f>
        <v>Low</v>
      </c>
      <c r="AV88" s="176">
        <f>IF(AU88="","",VLOOKUP(AU88,'11. Lists'!$J$35:$K$38,2,FALSE))</f>
        <v>1</v>
      </c>
      <c r="AW88" s="175" t="str">
        <f>IF(D88="","",VLOOKUP(D88,'10. Condition and Temporal'!$B$6:$M$103,4,FALSE))</f>
        <v>Urban/rural tree</v>
      </c>
      <c r="AX88" s="176" t="str">
        <f>IF(F88="","",IF(D88=F88,"Condition","Distinctivness"))</f>
        <v>Condition</v>
      </c>
      <c r="AY88" s="25" t="str">
        <f t="shared" ref="AY88" si="53">C88</f>
        <v>Individual trees</v>
      </c>
    </row>
    <row r="89" spans="1:76" s="25" customFormat="1" ht="15.75" thickBot="1" x14ac:dyDescent="0.3">
      <c r="H89" s="180" t="s">
        <v>105</v>
      </c>
      <c r="I89" s="322">
        <f>SUMIFS(I68:I87,F68:F87,"&lt;&gt;"&amp;'11. Lists'!Q10,F68:F87,"&lt;&gt;"&amp;'11. Lists'!Q11,F68:F87,"&lt;&gt;"&amp;'11. Lists'!I4,F68:F87,"&lt;&gt;"&amp;'11. Lists'!I2,F68:F87,"&lt;&gt;"&amp;'11. Lists'!I3)</f>
        <v>0</v>
      </c>
      <c r="J89" s="222"/>
      <c r="K89" s="220"/>
      <c r="L89" s="288">
        <f>SUM(L68:L88)</f>
        <v>0</v>
      </c>
      <c r="M89" s="692">
        <f>SUM(M68:N88)</f>
        <v>0</v>
      </c>
      <c r="N89" s="689"/>
      <c r="R89" s="646"/>
    </row>
    <row r="90" spans="1:76" s="25" customFormat="1" x14ac:dyDescent="0.25">
      <c r="C90" s="26"/>
      <c r="R90" s="646"/>
    </row>
    <row r="91" spans="1:76" s="25" customFormat="1" ht="21" x14ac:dyDescent="0.35">
      <c r="B91" s="57" t="s">
        <v>186</v>
      </c>
      <c r="R91" s="646"/>
    </row>
    <row r="92" spans="1:76" s="25" customFormat="1" ht="15.75" thickBot="1" x14ac:dyDescent="0.3">
      <c r="D92" s="88"/>
      <c r="R92" s="646"/>
    </row>
    <row r="93" spans="1:76" s="25" customFormat="1" ht="48" customHeight="1" x14ac:dyDescent="0.25">
      <c r="B93" s="749" t="s">
        <v>187</v>
      </c>
      <c r="C93" s="751"/>
      <c r="D93" s="835" t="s">
        <v>188</v>
      </c>
      <c r="E93" s="837" t="s">
        <v>189</v>
      </c>
      <c r="F93" s="838"/>
      <c r="G93" s="837" t="s">
        <v>190</v>
      </c>
      <c r="H93" s="751"/>
      <c r="I93" s="841" t="s">
        <v>191</v>
      </c>
      <c r="J93" s="842"/>
      <c r="K93" s="842"/>
      <c r="L93" s="842"/>
      <c r="M93" s="842"/>
      <c r="N93" s="842"/>
      <c r="O93" s="842"/>
      <c r="P93" s="843"/>
      <c r="R93" s="646"/>
    </row>
    <row r="94" spans="1:76" s="25" customFormat="1" ht="15.6" customHeight="1" thickBot="1" x14ac:dyDescent="0.3">
      <c r="B94" s="752"/>
      <c r="C94" s="754"/>
      <c r="D94" s="836"/>
      <c r="E94" s="839"/>
      <c r="F94" s="840"/>
      <c r="G94" s="839"/>
      <c r="H94" s="754"/>
      <c r="I94" s="729" t="s">
        <v>192</v>
      </c>
      <c r="J94" s="778"/>
      <c r="K94" s="763"/>
      <c r="L94" s="715" t="s">
        <v>193</v>
      </c>
      <c r="M94" s="778"/>
      <c r="N94" s="763"/>
      <c r="O94" s="715" t="s">
        <v>194</v>
      </c>
      <c r="P94" s="716"/>
      <c r="R94" s="646"/>
    </row>
    <row r="95" spans="1:76" s="25" customFormat="1" ht="23.1" customHeight="1" x14ac:dyDescent="0.25">
      <c r="B95" s="737" t="s">
        <v>195</v>
      </c>
      <c r="C95" s="738"/>
      <c r="D95" s="159"/>
      <c r="E95" s="695"/>
      <c r="F95" s="696"/>
      <c r="G95" s="844"/>
      <c r="H95" s="845"/>
      <c r="I95" s="685">
        <f>D95*'11. Lists'!P47</f>
        <v>0</v>
      </c>
      <c r="J95" s="686"/>
      <c r="K95" s="687"/>
      <c r="L95" s="649">
        <f>IF(E95&gt;D95, "Error ▲", E95*'11. Lists'!P47)</f>
        <v>0</v>
      </c>
      <c r="M95" s="686"/>
      <c r="N95" s="687"/>
      <c r="O95" s="649">
        <f>G95*'11. Lists'!P47</f>
        <v>0</v>
      </c>
      <c r="P95" s="650"/>
      <c r="R95" s="646"/>
    </row>
    <row r="96" spans="1:76" s="25" customFormat="1" ht="24.6" customHeight="1" x14ac:dyDescent="0.25">
      <c r="B96" s="735" t="s">
        <v>196</v>
      </c>
      <c r="C96" s="736"/>
      <c r="D96" s="217"/>
      <c r="E96" s="693"/>
      <c r="F96" s="694"/>
      <c r="G96" s="846"/>
      <c r="H96" s="847"/>
      <c r="I96" s="682">
        <f>D96*'11. Lists'!P48</f>
        <v>0</v>
      </c>
      <c r="J96" s="683"/>
      <c r="K96" s="684"/>
      <c r="L96" s="651">
        <f>IF(E96&gt;D96,"Error ▲",(E96*'11. Lists'!P48))</f>
        <v>0</v>
      </c>
      <c r="M96" s="683"/>
      <c r="N96" s="684"/>
      <c r="O96" s="651">
        <f>G96*'11. Lists'!P48</f>
        <v>0</v>
      </c>
      <c r="P96" s="652"/>
      <c r="R96" s="646"/>
    </row>
    <row r="97" spans="1:18" s="25" customFormat="1" ht="24.6" customHeight="1" x14ac:dyDescent="0.25">
      <c r="B97" s="735" t="s">
        <v>197</v>
      </c>
      <c r="C97" s="736"/>
      <c r="D97" s="217"/>
      <c r="E97" s="693"/>
      <c r="F97" s="694"/>
      <c r="G97" s="846"/>
      <c r="H97" s="847"/>
      <c r="I97" s="682">
        <f>D97*'11. Lists'!P49</f>
        <v>0</v>
      </c>
      <c r="J97" s="683"/>
      <c r="K97" s="684"/>
      <c r="L97" s="651">
        <f>IF(E97&gt;D97,"Error ▲",(E97*'11. Lists'!P49))</f>
        <v>0</v>
      </c>
      <c r="M97" s="683"/>
      <c r="N97" s="684"/>
      <c r="O97" s="651">
        <f>G97*'11. Lists'!P49</f>
        <v>0</v>
      </c>
      <c r="P97" s="652"/>
      <c r="R97" s="646"/>
    </row>
    <row r="98" spans="1:18" s="25" customFormat="1" ht="24.6" customHeight="1" x14ac:dyDescent="0.25">
      <c r="B98" s="735" t="s">
        <v>198</v>
      </c>
      <c r="C98" s="736"/>
      <c r="D98" s="217"/>
      <c r="E98" s="693"/>
      <c r="F98" s="694"/>
      <c r="G98" s="846"/>
      <c r="H98" s="847"/>
      <c r="I98" s="682">
        <f>D98*'11. Lists'!P50</f>
        <v>0</v>
      </c>
      <c r="J98" s="683"/>
      <c r="K98" s="684"/>
      <c r="L98" s="651">
        <f>IF(E98&gt;D98,"Error ▲",(E98*'11. Lists'!P50))</f>
        <v>0</v>
      </c>
      <c r="M98" s="683"/>
      <c r="N98" s="684"/>
      <c r="O98" s="651">
        <f>G98*'11. Lists'!P50</f>
        <v>0</v>
      </c>
      <c r="P98" s="652"/>
      <c r="R98" s="646"/>
    </row>
    <row r="99" spans="1:18" s="25" customFormat="1" ht="24.6" customHeight="1" thickBot="1" x14ac:dyDescent="0.3">
      <c r="B99" s="637" t="s">
        <v>199</v>
      </c>
      <c r="C99" s="730"/>
      <c r="D99" s="289">
        <f>SUM(D95:D98)</f>
        <v>0</v>
      </c>
      <c r="E99" s="647">
        <f>SUM(E95:F98)</f>
        <v>0</v>
      </c>
      <c r="F99" s="700"/>
      <c r="G99" s="647">
        <f>SUM(G95:H98)</f>
        <v>0</v>
      </c>
      <c r="H99" s="648"/>
      <c r="I99" s="700">
        <f>SUM(I95:K98)</f>
        <v>0</v>
      </c>
      <c r="J99" s="699"/>
      <c r="K99" s="699"/>
      <c r="L99" s="699">
        <f>SUM(L95:N98)</f>
        <v>0</v>
      </c>
      <c r="M99" s="699"/>
      <c r="N99" s="699"/>
      <c r="O99" s="647">
        <f>SUM(O95:P98)</f>
        <v>0</v>
      </c>
      <c r="P99" s="648"/>
      <c r="R99" s="646"/>
    </row>
    <row r="100" spans="1:18" s="25" customFormat="1" ht="19.149999999999999" customHeight="1" x14ac:dyDescent="0.25">
      <c r="E100" s="677" t="str">
        <f>IFERROR(IF(OR(E95&gt;D95, E96&gt;D96, E97&gt;D97, E98&gt;D98), "Error - trees retained and lost is greater than number of pre-development trees ▲", ""), "Error  ▲")</f>
        <v/>
      </c>
      <c r="F100" s="677"/>
      <c r="G100" s="677"/>
      <c r="R100" s="646"/>
    </row>
    <row r="101" spans="1:18" s="25" customFormat="1" x14ac:dyDescent="0.25">
      <c r="R101" s="646"/>
    </row>
    <row r="102" spans="1:18" s="25" customFormat="1" x14ac:dyDescent="0.25">
      <c r="A102" s="724" t="s">
        <v>200</v>
      </c>
      <c r="B102" s="724"/>
      <c r="C102" s="724"/>
      <c r="D102" s="724"/>
      <c r="E102" s="724"/>
      <c r="F102" s="724"/>
      <c r="G102" s="724"/>
      <c r="H102" s="724"/>
      <c r="I102" s="724"/>
      <c r="J102" s="724"/>
      <c r="K102" s="724"/>
      <c r="L102" s="724"/>
      <c r="M102" s="724"/>
      <c r="N102" s="724"/>
      <c r="O102" s="724"/>
      <c r="P102" s="724"/>
      <c r="Q102" s="724"/>
      <c r="R102" s="646"/>
    </row>
    <row r="103" spans="1:18" s="25" customFormat="1" x14ac:dyDescent="0.25">
      <c r="A103" s="724"/>
      <c r="B103" s="724"/>
      <c r="C103" s="724"/>
      <c r="D103" s="724"/>
      <c r="E103" s="724"/>
      <c r="F103" s="724"/>
      <c r="G103" s="724"/>
      <c r="H103" s="724"/>
      <c r="I103" s="724"/>
      <c r="J103" s="724"/>
      <c r="K103" s="724"/>
      <c r="L103" s="724"/>
      <c r="M103" s="724"/>
      <c r="N103" s="724"/>
      <c r="O103" s="724"/>
      <c r="P103" s="724"/>
      <c r="Q103" s="724"/>
      <c r="R103" s="646"/>
    </row>
    <row r="104" spans="1:18" s="25" customFormat="1" x14ac:dyDescent="0.25">
      <c r="A104" s="724"/>
      <c r="B104" s="724"/>
      <c r="C104" s="724"/>
      <c r="D104" s="724"/>
      <c r="E104" s="724"/>
      <c r="F104" s="724"/>
      <c r="G104" s="724"/>
      <c r="H104" s="724"/>
      <c r="I104" s="724"/>
      <c r="J104" s="724"/>
      <c r="K104" s="724"/>
      <c r="L104" s="724"/>
      <c r="M104" s="724"/>
      <c r="N104" s="724"/>
      <c r="O104" s="724"/>
      <c r="P104" s="724"/>
      <c r="Q104" s="724"/>
      <c r="R104" s="646"/>
    </row>
    <row r="105" spans="1:18" s="25" customFormat="1" x14ac:dyDescent="0.25">
      <c r="R105" s="646"/>
    </row>
    <row r="106" spans="1:18" s="25" customFormat="1" ht="21" x14ac:dyDescent="0.35">
      <c r="B106" s="57" t="s">
        <v>201</v>
      </c>
      <c r="D106" s="26"/>
      <c r="E106" s="26"/>
      <c r="F106" s="26"/>
      <c r="G106" s="26"/>
      <c r="R106" s="646"/>
    </row>
    <row r="107" spans="1:18" s="25" customFormat="1" ht="15.75" thickBot="1" x14ac:dyDescent="0.3">
      <c r="R107" s="646"/>
    </row>
    <row r="108" spans="1:18" s="25" customFormat="1" ht="36.6" customHeight="1" x14ac:dyDescent="0.25">
      <c r="B108" s="732" t="s">
        <v>202</v>
      </c>
      <c r="C108" s="733"/>
      <c r="D108" s="734"/>
      <c r="E108" s="722" t="str">
        <f>IF(SUM(J114:J135)&gt;0,"Error - Trading Rules Not Satisfied - Insufficient Units Created Within Habitat Groups ▲", "Trading Rules Satisfied ✓")</f>
        <v>Error - Trading Rules Not Satisfied - Insufficient Units Created Within Habitat Groups ▲</v>
      </c>
      <c r="F108" s="722"/>
      <c r="G108" s="722"/>
      <c r="H108" s="722"/>
      <c r="I108" s="723"/>
      <c r="J108" s="161">
        <f>IFERROR(FIND("Error",E108),0)</f>
        <v>1</v>
      </c>
      <c r="R108" s="646"/>
    </row>
    <row r="109" spans="1:18" s="25" customFormat="1" ht="36" customHeight="1" thickBot="1" x14ac:dyDescent="0.3">
      <c r="B109" s="725" t="s">
        <v>203</v>
      </c>
      <c r="C109" s="726"/>
      <c r="D109" s="727"/>
      <c r="E109" s="720" t="str">
        <f>IF(SUM(J138:J140)&gt;0,"Error - Trading Rules Not Satisfied - Insufficient Biodiversity Units Created ▲","Trading Rules Satisfied ✓")</f>
        <v>Error - Trading Rules Not Satisfied - Insufficient Biodiversity Units Created ▲</v>
      </c>
      <c r="F109" s="720"/>
      <c r="G109" s="720"/>
      <c r="H109" s="720"/>
      <c r="I109" s="721"/>
      <c r="J109" s="161">
        <f>IFERROR(FIND("Error",E109),0)</f>
        <v>1</v>
      </c>
      <c r="R109" s="646"/>
    </row>
    <row r="110" spans="1:18" s="25" customFormat="1" x14ac:dyDescent="0.25">
      <c r="R110" s="646"/>
    </row>
    <row r="111" spans="1:18" s="25" customFormat="1" ht="21" x14ac:dyDescent="0.35">
      <c r="B111" s="57" t="s">
        <v>204</v>
      </c>
      <c r="R111" s="646"/>
    </row>
    <row r="112" spans="1:18" s="25" customFormat="1" ht="15.75" thickBot="1" x14ac:dyDescent="0.3">
      <c r="R112" s="646"/>
    </row>
    <row r="113" spans="2:18" s="25" customFormat="1" ht="36.6" customHeight="1" x14ac:dyDescent="0.25">
      <c r="B113" s="784" t="s">
        <v>205</v>
      </c>
      <c r="C113" s="785"/>
      <c r="D113" s="785"/>
      <c r="E113" s="216" t="s">
        <v>206</v>
      </c>
      <c r="F113" s="216" t="s">
        <v>207</v>
      </c>
      <c r="G113" s="216" t="s">
        <v>208</v>
      </c>
      <c r="H113" s="216" t="s">
        <v>209</v>
      </c>
      <c r="I113" s="121" t="s">
        <v>210</v>
      </c>
      <c r="J113" s="438"/>
      <c r="R113" s="646"/>
    </row>
    <row r="114" spans="2:18" s="25" customFormat="1" ht="15.6" customHeight="1" x14ac:dyDescent="0.25">
      <c r="B114" s="786" t="s">
        <v>211</v>
      </c>
      <c r="C114" s="787"/>
      <c r="D114" s="788"/>
      <c r="E114" s="122" t="s">
        <v>212</v>
      </c>
      <c r="F114" s="123">
        <f>SUMIFS($L$11:$L$30,$C$11:$C$30,$B114,$T$11:$T$30,$E114)</f>
        <v>0</v>
      </c>
      <c r="G114" s="123">
        <f>SUMIFS($L$40:$L$59,$C$40:$C$59,$B114,$T$40:$T$59,$E114)+SUMIFS($L$68:$L$87,AY68:AY87,B114,$AG$68:$AG$87,E114)+SUMIFS($AE$11:$AE$31,$C$11:$C$31,B114,$T$11:$T$31,E114)</f>
        <v>0</v>
      </c>
      <c r="H114" s="123">
        <f>G114-F114</f>
        <v>0</v>
      </c>
      <c r="I114" s="124" t="s">
        <v>213</v>
      </c>
      <c r="J114" s="161"/>
      <c r="R114" s="646"/>
    </row>
    <row r="115" spans="2:18" s="25" customFormat="1" ht="15.6" customHeight="1" x14ac:dyDescent="0.25">
      <c r="B115" s="789"/>
      <c r="C115" s="790"/>
      <c r="D115" s="791"/>
      <c r="E115" s="125" t="s">
        <v>214</v>
      </c>
      <c r="F115" s="123">
        <f>SUMIFS($L$11:$L$30,$C$11:$C$30,$B114,$T$11:$T$30,$E115)</f>
        <v>0</v>
      </c>
      <c r="G115" s="123">
        <f>SUMIFS($L$40:$L$59,$C$40:$C$59,$B114,$T$40:$T$59,$E115)+SUMIFS($L$68:$L$87,AY68:AY87,B114,$AG$68:$AG$87,E115)+SUMIFS($AE$11:$AE$31,$C$11:$C$31,B114,$T$11:$T$31,E115)</f>
        <v>0</v>
      </c>
      <c r="H115" s="123">
        <f>G115-F115</f>
        <v>0</v>
      </c>
      <c r="I115" s="126" t="str">
        <f>IF(F115=0,"N/A",IF(H115&lt;0,"No ▲","Yes ✓"))</f>
        <v>N/A</v>
      </c>
      <c r="J115" s="161">
        <f>IF(I115="No ▲",1,0)</f>
        <v>0</v>
      </c>
      <c r="R115" s="646"/>
    </row>
    <row r="116" spans="2:18" s="25" customFormat="1" ht="15.6" customHeight="1" x14ac:dyDescent="0.25">
      <c r="B116" s="786" t="s">
        <v>215</v>
      </c>
      <c r="C116" s="787"/>
      <c r="D116" s="788"/>
      <c r="E116" s="122" t="s">
        <v>212</v>
      </c>
      <c r="F116" s="123">
        <f>SUMIFS($L$11:$L$30,$C$11:$C$30,$B116,$T$11:$T$30,$E116)</f>
        <v>0</v>
      </c>
      <c r="G116" s="123">
        <f>SUMIFS($L$40:$L$59,$C$40:$C$59,$B116,$T$40:$T$59,$E116)+SUMIFS($L$68:$L$87,AY68:AY87,B116,$AG$68:$AG$87,E116)+SUMIFS($AE$11:$AE$31,$C$11:$C$31,B116,$T$11:$T$31,E116)</f>
        <v>0</v>
      </c>
      <c r="H116" s="123">
        <f>G116-F116</f>
        <v>0</v>
      </c>
      <c r="I116" s="124" t="s">
        <v>213</v>
      </c>
      <c r="J116" s="161"/>
      <c r="R116" s="646"/>
    </row>
    <row r="117" spans="2:18" s="25" customFormat="1" ht="15.6" customHeight="1" x14ac:dyDescent="0.25">
      <c r="B117" s="789"/>
      <c r="C117" s="790"/>
      <c r="D117" s="791"/>
      <c r="E117" s="125" t="s">
        <v>214</v>
      </c>
      <c r="F117" s="123">
        <f>SUMIFS($L$11:$L$30,$C$11:$C$30,$B116,$T$11:$T$30,$E117)</f>
        <v>0</v>
      </c>
      <c r="G117" s="123">
        <f>SUMIFS($L$40:$L$59,$C$40:$C$59,$B116,$T$40:$T$59,$E117)+SUMIFS($L$68:$L$87,AY68:AY87,B116,$AG$68:$AG$87,E117)+SUMIFS($AE$11:$AE$31,$C$11:$C$31,B116,$T$11:$T$31,E117)</f>
        <v>0</v>
      </c>
      <c r="H117" s="123">
        <f t="shared" ref="H117:H131" si="54">G117-F117</f>
        <v>0</v>
      </c>
      <c r="I117" s="126" t="str">
        <f>IF(F117=0,"N/A",IF(H117&lt;0,"No ▲","Yes ✓"))</f>
        <v>N/A</v>
      </c>
      <c r="J117" s="161">
        <f>IF(I117="No ▲",1,0)</f>
        <v>0</v>
      </c>
      <c r="R117" s="646"/>
    </row>
    <row r="118" spans="2:18" s="25" customFormat="1" ht="15.6" customHeight="1" x14ac:dyDescent="0.25">
      <c r="B118" s="786" t="s">
        <v>216</v>
      </c>
      <c r="C118" s="787"/>
      <c r="D118" s="788"/>
      <c r="E118" s="122" t="s">
        <v>212</v>
      </c>
      <c r="F118" s="123">
        <f>SUMIFS($L$11:$L$30,$C$11:$C$30,$B118,$T$11:$T$30,$E118)</f>
        <v>0</v>
      </c>
      <c r="G118" s="123">
        <f>SUMIFS($L$40:$L$59,$C$40:$C$59,$B118,$T$40:$T$59,$E118)+SUMIFS($L$68:$L$87,$C$68:$C$87,B118,$AG$68:$AG$87,E118)+SUMIFS($AE$11:$AE$31,$C$11:$C$31,B118,$T$11:$T$31,E118)</f>
        <v>0</v>
      </c>
      <c r="H118" s="123">
        <f t="shared" si="54"/>
        <v>0</v>
      </c>
      <c r="I118" s="124" t="s">
        <v>213</v>
      </c>
      <c r="J118" s="161"/>
      <c r="R118" s="646"/>
    </row>
    <row r="119" spans="2:18" s="25" customFormat="1" ht="15.6" customHeight="1" x14ac:dyDescent="0.25">
      <c r="B119" s="789"/>
      <c r="C119" s="790"/>
      <c r="D119" s="791"/>
      <c r="E119" s="125" t="s">
        <v>214</v>
      </c>
      <c r="F119" s="123">
        <f>SUMIFS($L$11:$L$30,$C$11:$C$30,$B118,$T$11:$T$30,$E119)</f>
        <v>0.13396</v>
      </c>
      <c r="G119" s="123">
        <f>SUMIFS($L$40:$L$59,$C$40:$C$59,$B118,$T$40:$T$59,$E119)+SUMIFS($L$68:$L$87,$C$68:$C$87,B118,$AG$68:$AG$87,E119)+SUMIFS($AE$11:$AE$31,$C$11:$C$31,B118,$T$11:$T$31,E119)</f>
        <v>0</v>
      </c>
      <c r="H119" s="123">
        <f t="shared" si="54"/>
        <v>-0.13396</v>
      </c>
      <c r="I119" s="126" t="str">
        <f>IF(F119=0,"N/A",IF(H119&lt;0,"No ▲","Yes ✓"))</f>
        <v>No ▲</v>
      </c>
      <c r="J119" s="161">
        <f>IF(I119="No ▲",1,0)</f>
        <v>1</v>
      </c>
      <c r="R119" s="646"/>
    </row>
    <row r="120" spans="2:18" s="25" customFormat="1" ht="15.6" customHeight="1" x14ac:dyDescent="0.25">
      <c r="B120" s="786" t="s">
        <v>217</v>
      </c>
      <c r="C120" s="787"/>
      <c r="D120" s="788"/>
      <c r="E120" s="122" t="s">
        <v>212</v>
      </c>
      <c r="F120" s="123">
        <f>SUMIFS($L$11:$L$30,$C$11:$C$30,$B120,$T$11:$T$30,$E120)</f>
        <v>0</v>
      </c>
      <c r="G120" s="123">
        <f>SUMIFS($L$40:$L$59,$C$40:$C$59,$B120,$T$40:$T$59,$E120)+SUMIFS($L$68:$L$87,$C$68:$C$87,B120,$AG$68:$AG$87,E120)+SUMIFS($AE$11:$AE$31,$C$11:$C$31,B120,$T$11:$T$31,E120)</f>
        <v>0</v>
      </c>
      <c r="H120" s="123">
        <f>G120-F120</f>
        <v>0</v>
      </c>
      <c r="I120" s="124" t="s">
        <v>213</v>
      </c>
      <c r="J120" s="161"/>
      <c r="R120" s="646"/>
    </row>
    <row r="121" spans="2:18" s="25" customFormat="1" ht="15.6" customHeight="1" x14ac:dyDescent="0.25">
      <c r="B121" s="789"/>
      <c r="C121" s="790"/>
      <c r="D121" s="791"/>
      <c r="E121" s="125" t="s">
        <v>214</v>
      </c>
      <c r="F121" s="123">
        <f>SUMIFS($L$11:$L$30,$C$11:$C$30,$B120,$T$11:$T$30,$E121)</f>
        <v>0</v>
      </c>
      <c r="G121" s="123">
        <f>SUMIFS($L$40:$L$59,$C$40:$C$59,$B120,$T$40:$T$59,$E121)+SUMIFS($L$68:$L$87,$C$68:$C$87,B120,$AG$68:$AG$87,E121)+SUMIFS($AE$11:$AE$31,$C$11:$C$31,B120,$T$11:$T$31,E121)</f>
        <v>0</v>
      </c>
      <c r="H121" s="123">
        <f t="shared" si="54"/>
        <v>0</v>
      </c>
      <c r="I121" s="126" t="str">
        <f>IF(F121=0,"N/A",IF(H121&lt;0,"No ▲","Yes ✓"))</f>
        <v>N/A</v>
      </c>
      <c r="J121" s="161">
        <f>IF(I121="No ▲",1,0)</f>
        <v>0</v>
      </c>
      <c r="R121" s="646"/>
    </row>
    <row r="122" spans="2:18" s="25" customFormat="1" ht="15.6" customHeight="1" x14ac:dyDescent="0.25">
      <c r="B122" s="786" t="s">
        <v>218</v>
      </c>
      <c r="C122" s="787"/>
      <c r="D122" s="788"/>
      <c r="E122" s="122" t="s">
        <v>212</v>
      </c>
      <c r="F122" s="123">
        <f>SUMIFS($L$11:$L$30,$C$11:$C$30,$B122,$T$11:$T$30,$E122)</f>
        <v>0</v>
      </c>
      <c r="G122" s="123">
        <f>SUMIFS($L$40:$L$59,$C$40:$C$59,$B122,$T$40:$T$59,$E122)+SUMIFS($L$68:$L$87,$C$68:$C$87,B122,$AG$68:$AG$87,E122)+SUMIFS($AE$11:$AE$31,$C$11:$C$31,B122,$T$11:$T$31,E122)</f>
        <v>0</v>
      </c>
      <c r="H122" s="123">
        <f t="shared" si="54"/>
        <v>0</v>
      </c>
      <c r="I122" s="124" t="s">
        <v>213</v>
      </c>
      <c r="J122" s="161"/>
      <c r="R122" s="646"/>
    </row>
    <row r="123" spans="2:18" s="25" customFormat="1" ht="15.6" customHeight="1" x14ac:dyDescent="0.25">
      <c r="B123" s="789"/>
      <c r="C123" s="790"/>
      <c r="D123" s="791"/>
      <c r="E123" s="125" t="s">
        <v>214</v>
      </c>
      <c r="F123" s="123">
        <f>SUMIFS($L$11:$L$30,$C$11:$C$30,$B122,$T$11:$T$30,$E123)</f>
        <v>0</v>
      </c>
      <c r="G123" s="123">
        <f>SUMIFS($L$40:$L$59,$C$40:$C$59,$B$122,$T$40:$T$59,$E$123)+SUMIFS($L$68:$L$87,$C$68:$C$87,$B$122,$AG$68:$AG$87,$E$123)+SUMIFS($AE$11:$AE$31,$C$11:$C$31,$B$122,$T$11:$T$31,$E$123)</f>
        <v>0</v>
      </c>
      <c r="H123" s="123">
        <f t="shared" si="54"/>
        <v>0</v>
      </c>
      <c r="I123" s="126" t="str">
        <f>IF(F123=0,"N/A",IF(H123&lt;0,"No ▲","Yes ✓"))</f>
        <v>N/A</v>
      </c>
      <c r="J123" s="161">
        <f>IF(I123="No ▲",1,0)</f>
        <v>0</v>
      </c>
      <c r="R123" s="646"/>
    </row>
    <row r="124" spans="2:18" s="25" customFormat="1" ht="15.6" customHeight="1" x14ac:dyDescent="0.25">
      <c r="B124" s="786" t="s">
        <v>219</v>
      </c>
      <c r="C124" s="787"/>
      <c r="D124" s="788"/>
      <c r="E124" s="122" t="s">
        <v>212</v>
      </c>
      <c r="F124" s="123">
        <f>SUMIFS($L$11:$L$30,$C$11:$C$30,$B124,$T$11:$T$30,$E124)</f>
        <v>0</v>
      </c>
      <c r="G124" s="123">
        <f>SUMIFS($L$40:$L$59,$C$40:$C$59,$B124,$T$40:$T$59,$E124)+SUMIFS($L$68:$L$87,$C$68:$C$87,B124,$AG$68:$AG$87,E124)+SUMIFS($AE$11:$AE$31,$C$11:$C$31,B124,$T$11:$T$31,E124)</f>
        <v>0</v>
      </c>
      <c r="H124" s="123">
        <f t="shared" si="54"/>
        <v>0</v>
      </c>
      <c r="I124" s="124" t="s">
        <v>213</v>
      </c>
      <c r="J124" s="161"/>
      <c r="R124" s="646"/>
    </row>
    <row r="125" spans="2:18" s="25" customFormat="1" ht="15.6" customHeight="1" x14ac:dyDescent="0.25">
      <c r="B125" s="789"/>
      <c r="C125" s="790"/>
      <c r="D125" s="791"/>
      <c r="E125" s="125" t="s">
        <v>214</v>
      </c>
      <c r="F125" s="123">
        <f>SUMIFS($L$11:$L$30,$C$11:$C$30,$B124,$T$11:$T$30,$E125)</f>
        <v>0</v>
      </c>
      <c r="G125" s="123">
        <f>SUMIFS($L$40:$L$59,$C$40:$C$59,$B$124,$T$40:$T$59,$E125)+SUMIFS($L$68:$L$87,$C$68:$C$87,B124,$AG$68:$AG$87,E125)+SUMIFS($AE$11:$AE$31,$C$11:$C$31,$B$124,$T$11:$T$31,$E$125)</f>
        <v>0</v>
      </c>
      <c r="H125" s="123">
        <f>G125-F125</f>
        <v>0</v>
      </c>
      <c r="I125" s="126" t="str">
        <f>IF(F125=0,"N/A",IF(H125&lt;0,"No ▲","Yes ✓"))</f>
        <v>N/A</v>
      </c>
      <c r="J125" s="161">
        <f>IF(I125="No ▲",1,0)</f>
        <v>0</v>
      </c>
      <c r="R125" s="646"/>
    </row>
    <row r="126" spans="2:18" s="25" customFormat="1" ht="15.6" customHeight="1" x14ac:dyDescent="0.25">
      <c r="B126" s="786" t="s">
        <v>220</v>
      </c>
      <c r="C126" s="787"/>
      <c r="D126" s="788"/>
      <c r="E126" s="122" t="s">
        <v>212</v>
      </c>
      <c r="F126" s="123">
        <f>SUMIFS($L$11:$L$30,$C$11:$C$30,$B126,$T$11:$T$30,$E126)</f>
        <v>0</v>
      </c>
      <c r="G126" s="123">
        <f>SUMIFS($L$40:$L$59,$C$40:$C$59,$B126,$T$40:$T$59,$E126)+SUMIFS($L$68:$L$87,AY68:AY87,B126,$AG$68:$AG$87,E126)+SUMIFS($AE$11:$AE$31,$C$11:$C$31,B126,$T$11:$T$31,E126)</f>
        <v>0</v>
      </c>
      <c r="H126" s="123">
        <f t="shared" si="54"/>
        <v>0</v>
      </c>
      <c r="I126" s="124" t="s">
        <v>213</v>
      </c>
      <c r="J126" s="161"/>
      <c r="R126" s="646"/>
    </row>
    <row r="127" spans="2:18" s="25" customFormat="1" ht="15.6" customHeight="1" x14ac:dyDescent="0.25">
      <c r="B127" s="789"/>
      <c r="C127" s="790"/>
      <c r="D127" s="791"/>
      <c r="E127" s="125" t="s">
        <v>214</v>
      </c>
      <c r="F127" s="123">
        <f>SUMIFS($L$11:$L$30,$C$11:$C$30,$B126,$T$11:$T$30,$E127)</f>
        <v>0</v>
      </c>
      <c r="G127" s="123">
        <f>SUMIFS($L$40:$L$59,$C$40:$C$59,$B126,$T$40:$T$59,$E127)+SUMIFS($L$68:$L$87,AY68:AY87,B126,$AG$68:$AG$87,E127)+SUMIFS($AE$11:$AE$31,$C$11:$C$31,B126,$T$11:$T$31,E127)</f>
        <v>0</v>
      </c>
      <c r="H127" s="123">
        <f t="shared" si="54"/>
        <v>0</v>
      </c>
      <c r="I127" s="126" t="str">
        <f>IF(F127=0,"N/A",IF(H127&lt;0,"No ▲","Yes ✓"))</f>
        <v>N/A</v>
      </c>
      <c r="J127" s="161">
        <f>IF(I127="No ▲",1,0)</f>
        <v>0</v>
      </c>
      <c r="R127" s="646"/>
    </row>
    <row r="128" spans="2:18" s="25" customFormat="1" ht="15.6" customHeight="1" x14ac:dyDescent="0.25">
      <c r="B128" s="786" t="s">
        <v>221</v>
      </c>
      <c r="C128" s="787"/>
      <c r="D128" s="788"/>
      <c r="E128" s="122" t="s">
        <v>212</v>
      </c>
      <c r="F128" s="123">
        <f>SUMIFS($L$11:$L$30,$C$11:$C$30,$B128,$T$11:$T$30,$E128)</f>
        <v>0</v>
      </c>
      <c r="G128" s="123">
        <f>SUMIFS($L$40:$L$59,$C$40:$C$59,$B128,$T$40:$T$59,$E128)+SUMIFS($L$68:$L$87,AY68:AY87,B128,$AG$68:$AG$87,E128)+SUMIFS($AE$11:$AE$31,$C$11:$C$31,B128,$T$11:$T$31,E128)</f>
        <v>3.4199599999999997E-2</v>
      </c>
      <c r="H128" s="123">
        <f t="shared" si="54"/>
        <v>3.4199599999999997E-2</v>
      </c>
      <c r="I128" s="124" t="s">
        <v>213</v>
      </c>
      <c r="J128" s="161"/>
      <c r="R128" s="646"/>
    </row>
    <row r="129" spans="2:18" s="25" customFormat="1" ht="15.6" customHeight="1" x14ac:dyDescent="0.25">
      <c r="B129" s="789"/>
      <c r="C129" s="790"/>
      <c r="D129" s="791"/>
      <c r="E129" s="125" t="s">
        <v>214</v>
      </c>
      <c r="F129" s="123">
        <f>SUMIFS($L$11:$L$30,$C$11:$C$30,$B128,$T$11:$T$30,$E129)</f>
        <v>0</v>
      </c>
      <c r="G129" s="123">
        <f>SUMIFS($L$40:$L$59,$C$40:$C$59,$B128,$T$40:$T$59,$E129)+SUMIFS($L$68:$L$87,AY68:AY87,B128,$AG$68:$AG$87,E129)+SUMIFS($AE$11:$AE$31,$C$11:$C$31,B128,$T$11:$T$31,E129)</f>
        <v>0</v>
      </c>
      <c r="H129" s="123">
        <f t="shared" si="54"/>
        <v>0</v>
      </c>
      <c r="I129" s="126" t="str">
        <f>IF(F129=0,"N/A",IF(H129&lt;0,"No ▲","Yes ✓"))</f>
        <v>N/A</v>
      </c>
      <c r="J129" s="161">
        <f>IF(I129="No ▲",1,0)</f>
        <v>0</v>
      </c>
      <c r="R129" s="646"/>
    </row>
    <row r="130" spans="2:18" s="25" customFormat="1" ht="15.6" customHeight="1" x14ac:dyDescent="0.25">
      <c r="B130" s="786" t="s">
        <v>222</v>
      </c>
      <c r="C130" s="787"/>
      <c r="D130" s="788"/>
      <c r="E130" s="122" t="s">
        <v>212</v>
      </c>
      <c r="F130" s="123">
        <f>SUMIFS($L$11:$L$30,$C$11:$C$30,$B130,$T$11:$T$30,$E130)</f>
        <v>0</v>
      </c>
      <c r="G130" s="123">
        <f>SUMIFS($L$40:$L$59,$C$40:$C$59,$B130,$T$40:$T$59,$E130)+SUMIFS($L$68:$L$87,$C$68:$C$87,B130,$AG$68:$AG$87,E130)+SUMIFS($AE$11:$AE$31,$C$11:$C$31,B130,$T$11:$T$31,E130)</f>
        <v>0</v>
      </c>
      <c r="H130" s="123">
        <f t="shared" si="54"/>
        <v>0</v>
      </c>
      <c r="I130" s="124" t="s">
        <v>213</v>
      </c>
      <c r="J130" s="161"/>
      <c r="R130" s="646"/>
    </row>
    <row r="131" spans="2:18" s="25" customFormat="1" ht="15.6" customHeight="1" x14ac:dyDescent="0.25">
      <c r="B131" s="789"/>
      <c r="C131" s="790"/>
      <c r="D131" s="791"/>
      <c r="E131" s="125" t="s">
        <v>214</v>
      </c>
      <c r="F131" s="123">
        <f>SUMIFS($L$11:$L$30,$C$11:$C$30,$B130,$T$11:$T$30,$E131)</f>
        <v>0</v>
      </c>
      <c r="G131" s="123">
        <f>SUMIFS($L$40:$L$59,$C$40:$C$59,$B130,$T$40:$T$59,$E131)+SUMIFS($L$68:$L$87,$C$68:$C$87,B130,$AG$68:$AG$87,E131)+SUMIFS($AE$11:$AE$31,$C$11:$C$31,B130,$T$11:$T$31,E131)</f>
        <v>0</v>
      </c>
      <c r="H131" s="123">
        <f t="shared" si="54"/>
        <v>0</v>
      </c>
      <c r="I131" s="126" t="str">
        <f>IF(F131=0,"N/A",IF(H131&lt;0,"No ▲","Yes ✓"))</f>
        <v>N/A</v>
      </c>
      <c r="J131" s="161">
        <f>IF(I131="No ▲",1,0)</f>
        <v>0</v>
      </c>
      <c r="R131" s="646"/>
    </row>
    <row r="132" spans="2:18" s="25" customFormat="1" ht="15.6" customHeight="1" x14ac:dyDescent="0.25">
      <c r="B132" s="786" t="s">
        <v>223</v>
      </c>
      <c r="C132" s="787"/>
      <c r="D132" s="787"/>
      <c r="E132" s="122" t="s">
        <v>212</v>
      </c>
      <c r="F132" s="123">
        <f>SUMIFS($L$11:$L$30,$C$11:$C$30,$B132,$T$11:$T$30,$E132)</f>
        <v>0</v>
      </c>
      <c r="G132" s="123">
        <f>SUMIFS($L$40:$L$59,$C$40:$C$59,$B132,$T$40:$T$59,$E132)+SUMIFS($L$68:$L$87,$C$68:$C$87,B132,$AG$68:$AG$87,E132)+SUMIFS($AE$11:$AE$31,$C$11:$C$31,B132,$T$11:$T$31,E132)</f>
        <v>0</v>
      </c>
      <c r="H132" s="123">
        <f>G132-F132</f>
        <v>0</v>
      </c>
      <c r="I132" s="124" t="s">
        <v>213</v>
      </c>
      <c r="J132" s="161"/>
      <c r="R132" s="646"/>
    </row>
    <row r="133" spans="2:18" s="25" customFormat="1" ht="15.6" customHeight="1" x14ac:dyDescent="0.25">
      <c r="B133" s="801"/>
      <c r="C133" s="802"/>
      <c r="D133" s="802"/>
      <c r="E133" s="379" t="s">
        <v>214</v>
      </c>
      <c r="F133" s="380">
        <f>SUMIFS($L$11:$L$30,$C$11:$C$30,$B132,$T$11:$T$30,$E133)</f>
        <v>0</v>
      </c>
      <c r="G133" s="380">
        <f>SUMIFS($L$40:$L$59,$C$40:$C$59,$B132,$T$40:$T$59,$E133)+SUMIFS($L$68:$L$87,$C$68:$C$87,B132,$AG$68:$AG$87,E133)+SUMIFS($AE$11:$AE$31,$C$11:$C$31,B132,$T$11:$T$31,E133)</f>
        <v>0</v>
      </c>
      <c r="H133" s="380">
        <f>G133-F133</f>
        <v>0</v>
      </c>
      <c r="I133" s="381" t="str">
        <f>IF(F133=0,"N/A",IF(H133&lt;0,"No ▲","Yes ✓"))</f>
        <v>N/A</v>
      </c>
      <c r="J133" s="161">
        <f>IF(I133="No ▲",1,0)</f>
        <v>0</v>
      </c>
      <c r="R133" s="646"/>
    </row>
    <row r="134" spans="2:18" s="25" customFormat="1" ht="15.6" customHeight="1" x14ac:dyDescent="0.25">
      <c r="B134" s="786" t="s">
        <v>102</v>
      </c>
      <c r="C134" s="787"/>
      <c r="D134" s="788"/>
      <c r="E134" s="122" t="s">
        <v>212</v>
      </c>
      <c r="F134" s="123">
        <f>SUMIFS($L$11:$L$31,$C$11:$C$31,$B134,$T$11:$T$31,$E134)</f>
        <v>0</v>
      </c>
      <c r="G134" s="123">
        <f>SUMIFS($L$40:$L$60,$C$40:$C$60,$B134,$T$40:$T$60,$E134)+SUMIFS($L$68:$L$88,$C$68:$C$88,B134,$AG$68:$AG$88,E134)+SUMIFS($AE$11:$AE$31,$C$11:$C$31,B134,$T$11:$T$31,E134)</f>
        <v>0</v>
      </c>
      <c r="H134" s="123">
        <f>G134-F134</f>
        <v>0</v>
      </c>
      <c r="I134" s="124" t="s">
        <v>213</v>
      </c>
      <c r="J134" s="161"/>
      <c r="R134" s="646"/>
    </row>
    <row r="135" spans="2:18" s="25" customFormat="1" ht="23.1" customHeight="1" thickBot="1" x14ac:dyDescent="0.3">
      <c r="B135" s="803"/>
      <c r="C135" s="804"/>
      <c r="D135" s="805"/>
      <c r="E135" s="218" t="s">
        <v>214</v>
      </c>
      <c r="F135" s="219">
        <f>SUMIFS($L$11:$L$31,$C$11:$C$31,$B134,$T$11:$T$31,$E135)</f>
        <v>0</v>
      </c>
      <c r="G135" s="219">
        <f>SUMIFS($L$40:$L$60,$C$40:$C$60,$B134,$T$40:$T$60,$E135)+SUMIFS($L$68:$L$88,$C$68:$C$88,B134,$AG$68:$AG$88,E135)+SUMIFS($AE$11:$AE$31,$C$11:$C$31,B134,$T$11:$T$31,E135)</f>
        <v>0</v>
      </c>
      <c r="H135" s="219">
        <f>G135-F135</f>
        <v>0</v>
      </c>
      <c r="I135" s="510" t="str">
        <f>IF(F135=0,"N/A",IF(H135&lt;0,"No ▲","Yes ✓"))</f>
        <v>N/A</v>
      </c>
      <c r="J135" s="161">
        <f t="shared" ref="J135:J140" si="55">IF(I135="No ▲",1,0)</f>
        <v>0</v>
      </c>
      <c r="R135" s="646"/>
    </row>
    <row r="136" spans="2:18" s="25" customFormat="1" ht="15.6" customHeight="1" thickBot="1" x14ac:dyDescent="0.3">
      <c r="J136" s="161"/>
      <c r="M136" s="26"/>
      <c r="R136" s="646"/>
    </row>
    <row r="137" spans="2:18" s="25" customFormat="1" ht="37.5" x14ac:dyDescent="0.25">
      <c r="B137" s="732" t="s">
        <v>206</v>
      </c>
      <c r="C137" s="733"/>
      <c r="D137" s="733"/>
      <c r="E137" s="734"/>
      <c r="F137" s="127" t="s">
        <v>207</v>
      </c>
      <c r="G137" s="127" t="s">
        <v>208</v>
      </c>
      <c r="H137" s="127" t="s">
        <v>209</v>
      </c>
      <c r="I137" s="128" t="s">
        <v>210</v>
      </c>
      <c r="J137" s="161"/>
      <c r="M137" s="26"/>
      <c r="R137" s="646"/>
    </row>
    <row r="138" spans="2:18" s="25" customFormat="1" ht="30.6" customHeight="1" x14ac:dyDescent="0.25">
      <c r="B138" s="795" t="s">
        <v>224</v>
      </c>
      <c r="C138" s="796"/>
      <c r="D138" s="796"/>
      <c r="E138" s="797"/>
      <c r="F138" s="123">
        <f>SUMIFS($L$11:$L$31,$T$11:$T$31,"Medium")</f>
        <v>0.13396</v>
      </c>
      <c r="G138" s="160">
        <f>IF(L61+L89+P1=0,0,SUMIFS($L$40:$L$60,$T$40:$T$60,"Medium")+SUMIFS($L$68:$L$87,$AG$68:$AG$87,"Medium")+SUMIFS($AE$11:$AE$31,$T$11:$T$31,"Medium"))</f>
        <v>0</v>
      </c>
      <c r="H138" s="123">
        <f>IFERROR(G138-F138,"")</f>
        <v>-0.13396</v>
      </c>
      <c r="I138" s="333" t="str">
        <f>IF(G138="","",IF(H138&gt;=0,"Yes ✓","No ▲"))</f>
        <v>No ▲</v>
      </c>
      <c r="J138" s="161">
        <f t="shared" si="55"/>
        <v>1</v>
      </c>
      <c r="R138" s="646" t="s">
        <v>64</v>
      </c>
    </row>
    <row r="139" spans="2:18" s="25" customFormat="1" ht="30.6" customHeight="1" x14ac:dyDescent="0.25">
      <c r="B139" s="795" t="s">
        <v>225</v>
      </c>
      <c r="C139" s="796"/>
      <c r="D139" s="796"/>
      <c r="E139" s="797"/>
      <c r="F139" s="123">
        <f>SUMIFS($L$11:$L$31,$T$11:$T$31,"Low")</f>
        <v>0</v>
      </c>
      <c r="G139" s="160">
        <f>IF(L61+L89+P1=0,0,SUMIFS($L$40:$L$60,$T$40:$T$60,"Low")+SUMIFS($L$68:$L$88,$AG$68:$AG$88,"Low")+SUMIFS($AE$11:$AE$31,$T$11:$T$31,"Low"))</f>
        <v>3.4199599999999997E-2</v>
      </c>
      <c r="H139" s="123">
        <f>IFERROR(G139-F139,"")</f>
        <v>3.4199599999999997E-2</v>
      </c>
      <c r="I139" s="333" t="str">
        <f>IF($I$142&gt;=0,"Yes ✓","No ▲")</f>
        <v>Yes ✓</v>
      </c>
      <c r="J139" s="161">
        <f t="shared" si="55"/>
        <v>0</v>
      </c>
      <c r="R139" s="646"/>
    </row>
    <row r="140" spans="2:18" s="25" customFormat="1" ht="41.25" customHeight="1" thickBot="1" x14ac:dyDescent="0.3">
      <c r="B140" s="798" t="s">
        <v>226</v>
      </c>
      <c r="C140" s="799"/>
      <c r="D140" s="799"/>
      <c r="E140" s="800"/>
      <c r="F140" s="792">
        <f>IFERROR(H138+H139,"")</f>
        <v>-9.9760399999999999E-2</v>
      </c>
      <c r="G140" s="793"/>
      <c r="H140" s="794"/>
      <c r="I140" s="334" t="str">
        <f>IF(F140="","",IF(F140&gt;=0,"Yes ✓","No ▲"))</f>
        <v>No ▲</v>
      </c>
      <c r="J140" s="161">
        <f t="shared" si="55"/>
        <v>1</v>
      </c>
      <c r="R140" s="646"/>
    </row>
    <row r="141" spans="2:18" s="25" customFormat="1" x14ac:dyDescent="0.25">
      <c r="R141" s="646"/>
    </row>
    <row r="142" spans="2:18" s="25" customFormat="1" x14ac:dyDescent="0.25">
      <c r="I142" s="442">
        <f>IF($H$138&gt;0,($H$139+$H$138),$H$139)</f>
        <v>3.4199599999999997E-2</v>
      </c>
      <c r="R142" s="646"/>
    </row>
    <row r="143" spans="2:18" s="25" customFormat="1" x14ac:dyDescent="0.25">
      <c r="R143" s="646"/>
    </row>
    <row r="144" spans="2:18" s="25" customFormat="1" x14ac:dyDescent="0.25">
      <c r="R144" s="646"/>
    </row>
    <row r="145" spans="18:18" s="25" customFormat="1" x14ac:dyDescent="0.25">
      <c r="R145" s="646"/>
    </row>
    <row r="146" spans="18:18" s="25" customFormat="1" x14ac:dyDescent="0.25">
      <c r="R146" s="646"/>
    </row>
    <row r="147" spans="18:18" s="25" customFormat="1" x14ac:dyDescent="0.25">
      <c r="R147" s="646"/>
    </row>
    <row r="148" spans="18:18" s="25" customFormat="1" x14ac:dyDescent="0.25">
      <c r="R148" s="646"/>
    </row>
    <row r="149" spans="18:18" s="25" customFormat="1" x14ac:dyDescent="0.25">
      <c r="R149" s="646"/>
    </row>
    <row r="150" spans="18:18" s="25" customFormat="1" x14ac:dyDescent="0.25">
      <c r="R150" s="646"/>
    </row>
    <row r="151" spans="18:18" s="25" customFormat="1" x14ac:dyDescent="0.25">
      <c r="R151" s="646"/>
    </row>
    <row r="152" spans="18:18" s="25" customFormat="1" x14ac:dyDescent="0.25">
      <c r="R152" s="646"/>
    </row>
    <row r="153" spans="18:18" s="25" customFormat="1" x14ac:dyDescent="0.25">
      <c r="R153" s="646"/>
    </row>
    <row r="154" spans="18:18" s="25" customFormat="1" x14ac:dyDescent="0.25">
      <c r="R154" s="646"/>
    </row>
    <row r="155" spans="18:18" s="25" customFormat="1" x14ac:dyDescent="0.25">
      <c r="R155" s="646"/>
    </row>
    <row r="156" spans="18:18" s="25" customFormat="1" x14ac:dyDescent="0.25">
      <c r="R156" s="646"/>
    </row>
    <row r="157" spans="18:18" s="25" customFormat="1" x14ac:dyDescent="0.25">
      <c r="R157" s="646"/>
    </row>
    <row r="158" spans="18:18" s="25" customFormat="1" x14ac:dyDescent="0.25">
      <c r="R158" s="646"/>
    </row>
    <row r="159" spans="18:18" s="25" customFormat="1" x14ac:dyDescent="0.25">
      <c r="R159" s="646"/>
    </row>
    <row r="160" spans="18:18" s="25" customFormat="1" x14ac:dyDescent="0.25">
      <c r="R160" s="646"/>
    </row>
    <row r="161" spans="18:18" s="25" customFormat="1" x14ac:dyDescent="0.25">
      <c r="R161" s="646"/>
    </row>
    <row r="162" spans="18:18" s="25" customFormat="1" x14ac:dyDescent="0.25">
      <c r="R162" s="646"/>
    </row>
    <row r="163" spans="18:18" s="25" customFormat="1" x14ac:dyDescent="0.25">
      <c r="R163" s="646"/>
    </row>
    <row r="164" spans="18:18" s="25" customFormat="1" x14ac:dyDescent="0.25">
      <c r="R164" s="646"/>
    </row>
    <row r="165" spans="18:18" s="25" customFormat="1" x14ac:dyDescent="0.25">
      <c r="R165" s="646"/>
    </row>
    <row r="166" spans="18:18" s="25" customFormat="1" x14ac:dyDescent="0.25">
      <c r="R166" s="646"/>
    </row>
    <row r="167" spans="18:18" s="25" customFormat="1" x14ac:dyDescent="0.25">
      <c r="R167" s="646"/>
    </row>
    <row r="168" spans="18:18" s="25" customFormat="1" x14ac:dyDescent="0.25">
      <c r="R168" s="646"/>
    </row>
    <row r="169" spans="18:18" s="25" customFormat="1" x14ac:dyDescent="0.25">
      <c r="R169" s="646"/>
    </row>
  </sheetData>
  <sheetProtection algorithmName="SHA-512" hashValue="xcV4Km4BNir/CsRC8Beu6qJyRWmEFPb4S0E5nMLE44LOzSziD+Gyw62Y2SX3GEg/gJHuCJEpvKZp+tdtX4SeKw==" saltValue="W1rspN0rKqDpM/3olxq8MQ==" spinCount="100000" sheet="1" formatRows="0"/>
  <mergeCells count="33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J78:K78"/>
    <mergeCell ref="L99:N99"/>
    <mergeCell ref="L97:N97"/>
    <mergeCell ref="L96:N96"/>
    <mergeCell ref="L95:N95"/>
    <mergeCell ref="I99:K99"/>
    <mergeCell ref="J72:K72"/>
    <mergeCell ref="J80:K80"/>
    <mergeCell ref="J81:K81"/>
    <mergeCell ref="J76:K76"/>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T39:U39"/>
    <mergeCell ref="T38:V38"/>
    <mergeCell ref="T40:U40"/>
    <mergeCell ref="T41:U41"/>
    <mergeCell ref="T42:U42"/>
    <mergeCell ref="T43:U43"/>
    <mergeCell ref="T44:U44"/>
    <mergeCell ref="T45:U45"/>
    <mergeCell ref="T46:U46"/>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expression" dxfId="170" priority="79">
      <formula>"p18=""Avoid"""</formula>
    </cfRule>
    <cfRule type="cellIs" dxfId="169" priority="77" operator="equal">
      <formula>"Any loss Unacceptable"</formula>
    </cfRule>
  </conditionalFormatting>
  <conditionalFormatting sqref="I114:I135">
    <cfRule type="containsText" dxfId="168" priority="9" operator="containsText" text="No">
      <formula>NOT(ISERROR(SEARCH("No",I114)))</formula>
    </cfRule>
    <cfRule type="containsText" dxfId="167" priority="8" operator="containsText" text="Yes">
      <formula>NOT(ISERROR(SEARCH("Yes",I114)))</formula>
    </cfRule>
  </conditionalFormatting>
  <conditionalFormatting sqref="I138:I140">
    <cfRule type="containsText" dxfId="166" priority="102" operator="containsText" text="Yes">
      <formula>NOT(ISERROR(SEARCH("Yes",I138)))</formula>
    </cfRule>
    <cfRule type="containsText" dxfId="165" priority="103" operator="containsText" text="No">
      <formula>NOT(ISERROR(SEARCH("No",I138)))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3" operator="containsText" text="▲">
      <formula>NOT(ISERROR(SEARCH("▲",L11)))</formula>
    </cfRule>
    <cfRule type="containsText" dxfId="155" priority="19" operator="containsText" text="value">
      <formula>NOT(ISERROR(SEARCH("value",L11)))</formula>
    </cfRule>
  </conditionalFormatting>
  <conditionalFormatting sqref="L68:L88">
    <cfRule type="containsText" dxfId="154" priority="14" operator="containsText" text="▲">
      <formula>NOT(ISERROR(SEARCH("▲",L68)))</formula>
    </cfRule>
  </conditionalFormatting>
  <conditionalFormatting sqref="L89">
    <cfRule type="expression" dxfId="153" priority="76">
      <formula>"p18=""Avoid"""</formula>
    </cfRule>
    <cfRule type="cellIs" dxfId="152" priority="74" operator="equal">
      <formula>"Any loss Unacceptable"</formula>
    </cfRule>
  </conditionalFormatting>
  <conditionalFormatting sqref="L11:M30">
    <cfRule type="cellIs" dxfId="151" priority="168" operator="equal">
      <formula>"Any loss Unacceptable"</formula>
    </cfRule>
    <cfRule type="expression" dxfId="150" priority="170">
      <formula>"p18=""Avoid"""</formula>
    </cfRule>
  </conditionalFormatting>
  <conditionalFormatting sqref="L31:M31">
    <cfRule type="cellIs" dxfId="149" priority="84" operator="equal">
      <formula>"Alternative Compensation"</formula>
    </cfRule>
    <cfRule type="cellIs" dxfId="148" priority="85" operator="equal">
      <formula>"Unacceptable Loss"</formula>
    </cfRule>
    <cfRule type="cellIs" dxfId="147" priority="86" operator="equal">
      <formula>"Compensation Agreed"</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topLeftCell="A13" zoomScale="55" zoomScaleNormal="55" workbookViewId="0">
      <selection activeCell="I39" sqref="I39:K39"/>
    </sheetView>
  </sheetViews>
  <sheetFormatPr defaultColWidth="0" defaultRowHeight="15" zeroHeight="1" x14ac:dyDescent="0.25"/>
  <cols>
    <col min="1" max="1" width="4.5703125" customWidth="1"/>
    <col min="2" max="2" width="14.7109375" customWidth="1"/>
    <col min="3" max="3" width="24.42578125" bestFit="1" customWidth="1"/>
    <col min="4" max="4" width="40.28515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7109375" customWidth="1"/>
    <col min="22" max="22" width="20.7109375" bestFit="1" customWidth="1"/>
    <col min="23" max="23" width="23.7109375" customWidth="1"/>
    <col min="24" max="24" width="16.71093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28515625" bestFit="1" customWidth="1"/>
    <col min="42" max="42" width="19.7109375" bestFit="1" customWidth="1"/>
    <col min="43" max="43" width="16.28515625" bestFit="1" customWidth="1"/>
    <col min="44" max="47" width="27.28515625" customWidth="1"/>
    <col min="48" max="48" width="21.28515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7109375" customWidth="1"/>
    <col min="81" max="16384" width="8.7109375" hidden="1"/>
  </cols>
  <sheetData>
    <row r="1" spans="1:35" s="25" customFormat="1" ht="15.75" customHeight="1" thickBot="1" x14ac:dyDescent="0.3">
      <c r="I1" s="52"/>
      <c r="J1" s="52"/>
      <c r="K1" s="52"/>
      <c r="L1" s="52"/>
      <c r="M1" s="52"/>
      <c r="N1" s="52"/>
      <c r="O1" s="158" t="s">
        <v>63</v>
      </c>
      <c r="P1" s="281">
        <f>IFERROR(SUM(AE11:AE30), "Error ▲")</f>
        <v>0</v>
      </c>
      <c r="R1" s="646" t="s">
        <v>64</v>
      </c>
      <c r="T1" s="26"/>
    </row>
    <row r="2" spans="1:35" s="25" customFormat="1" ht="19.899999999999999" customHeight="1" x14ac:dyDescent="0.3">
      <c r="B2" s="80" t="s">
        <v>65</v>
      </c>
      <c r="C2" s="820" t="str">
        <f>IF('2. Site Details'!D4="","Enter site name on 2. Site Details",'2. Site Details'!D4)</f>
        <v>Land to the Rear of 292 Henley Road, Reading</v>
      </c>
      <c r="D2" s="821"/>
      <c r="F2" s="765" t="s">
        <v>227</v>
      </c>
      <c r="G2" s="766"/>
      <c r="H2" s="767"/>
      <c r="I2" s="52"/>
      <c r="J2" s="779" t="str" cm="1">
        <f t="array" aca="1" ref="J2" ca="1">IFERROR(IF(OR((ISNUMBER(SEARCH("▲",A7:Q101)))),"Input Errors Present On Sheet - Red Cells Or ▲ Highlight Errors","All Key Rules Satisfied ✓ "),"Technical Errors On Sheet ▲")</f>
        <v xml:space="preserve">All Key Rules Satisfied ✓ </v>
      </c>
      <c r="K2" s="779"/>
      <c r="L2" s="779"/>
      <c r="M2" s="779"/>
      <c r="N2" s="81"/>
      <c r="O2" s="83" t="s">
        <v>67</v>
      </c>
      <c r="P2" s="281">
        <f>IFERROR(N31, "Error ▲")</f>
        <v>0</v>
      </c>
      <c r="R2" s="646"/>
      <c r="T2" s="26"/>
    </row>
    <row r="3" spans="1:35" s="25" customFormat="1" ht="19.899999999999999" customHeight="1" thickBot="1" x14ac:dyDescent="0.35">
      <c r="B3" s="82" t="s">
        <v>16</v>
      </c>
      <c r="C3" s="822" t="s">
        <v>228</v>
      </c>
      <c r="D3" s="823"/>
      <c r="F3" s="768"/>
      <c r="G3" s="769"/>
      <c r="H3" s="770"/>
      <c r="I3" s="52"/>
      <c r="J3" s="779"/>
      <c r="K3" s="779"/>
      <c r="L3" s="779"/>
      <c r="M3" s="779"/>
      <c r="N3" s="81"/>
      <c r="O3" s="83" t="s">
        <v>69</v>
      </c>
      <c r="P3" s="281">
        <f>IFERROR(L59, "Error ▲")</f>
        <v>0</v>
      </c>
      <c r="R3" s="646"/>
      <c r="T3" s="26"/>
    </row>
    <row r="4" spans="1:35" s="25" customFormat="1" ht="19.899999999999999" customHeight="1" x14ac:dyDescent="0.25">
      <c r="B4" s="84"/>
      <c r="C4" s="84"/>
      <c r="D4" s="84"/>
      <c r="F4" s="768"/>
      <c r="G4" s="769"/>
      <c r="H4" s="770"/>
      <c r="I4" s="52"/>
      <c r="J4" s="779"/>
      <c r="K4" s="779"/>
      <c r="L4" s="779"/>
      <c r="M4" s="779"/>
      <c r="N4" s="81"/>
      <c r="O4" s="83" t="s">
        <v>70</v>
      </c>
      <c r="P4" s="281">
        <f>IFERROR(L86, "Error ▲")</f>
        <v>0</v>
      </c>
      <c r="R4" s="646"/>
      <c r="T4" s="26"/>
    </row>
    <row r="5" spans="1:35" s="25" customFormat="1" ht="19.899999999999999" customHeight="1" thickBot="1" x14ac:dyDescent="0.3">
      <c r="A5" s="85"/>
      <c r="F5" s="768"/>
      <c r="G5" s="769"/>
      <c r="H5" s="770"/>
      <c r="I5" s="52"/>
      <c r="J5" s="779"/>
      <c r="K5" s="779"/>
      <c r="L5" s="779"/>
      <c r="M5" s="779"/>
      <c r="N5" s="81"/>
      <c r="O5" s="86" t="s">
        <v>71</v>
      </c>
      <c r="P5" s="282">
        <f>IFERROR(P1+L59+L86-L31, "Error ▲")</f>
        <v>0</v>
      </c>
      <c r="R5" s="646"/>
      <c r="T5" s="26"/>
    </row>
    <row r="6" spans="1:35" s="25" customFormat="1" ht="13.15" customHeight="1" thickBot="1" x14ac:dyDescent="0.3">
      <c r="A6" s="85"/>
      <c r="F6" s="771"/>
      <c r="G6" s="772"/>
      <c r="H6" s="773"/>
      <c r="I6" s="52"/>
      <c r="J6" s="52"/>
      <c r="K6" s="52"/>
      <c r="L6" s="52"/>
      <c r="M6" s="52"/>
      <c r="N6" s="52"/>
      <c r="O6" s="87"/>
      <c r="P6" s="87"/>
      <c r="R6" s="646"/>
      <c r="T6" s="26"/>
    </row>
    <row r="7" spans="1:35" s="25" customFormat="1" ht="19.149999999999999" customHeight="1" x14ac:dyDescent="0.35">
      <c r="B7" s="57" t="s">
        <v>72</v>
      </c>
      <c r="D7" s="88"/>
      <c r="H7" s="26"/>
      <c r="K7" s="26"/>
      <c r="L7" s="30"/>
      <c r="M7" s="30"/>
      <c r="N7" s="30"/>
      <c r="R7" s="646"/>
      <c r="T7" s="26"/>
    </row>
    <row r="8" spans="1:35" s="25" customFormat="1" ht="10.9" customHeight="1" thickBot="1" x14ac:dyDescent="0.3">
      <c r="A8" s="89"/>
      <c r="R8" s="646"/>
    </row>
    <row r="9" spans="1:35" s="25" customFormat="1" ht="29.65" customHeight="1" x14ac:dyDescent="0.25">
      <c r="A9" s="89"/>
      <c r="B9" s="728" t="s">
        <v>58</v>
      </c>
      <c r="C9" s="717" t="s">
        <v>73</v>
      </c>
      <c r="D9" s="718"/>
      <c r="E9" s="719"/>
      <c r="F9" s="749" t="s">
        <v>74</v>
      </c>
      <c r="G9" s="750"/>
      <c r="H9" s="751"/>
      <c r="I9" s="717" t="s">
        <v>229</v>
      </c>
      <c r="J9" s="718"/>
      <c r="K9" s="719"/>
      <c r="L9" s="746" t="s">
        <v>76</v>
      </c>
      <c r="M9" s="747"/>
      <c r="N9" s="748"/>
      <c r="O9" s="746" t="s">
        <v>77</v>
      </c>
      <c r="P9" s="748"/>
      <c r="R9" s="646"/>
      <c r="T9" s="674" t="s">
        <v>78</v>
      </c>
      <c r="U9" s="675"/>
      <c r="V9" s="907"/>
      <c r="W9" s="674" t="s">
        <v>79</v>
      </c>
      <c r="X9" s="676"/>
      <c r="Y9" s="756"/>
      <c r="Z9" s="756"/>
      <c r="AA9" s="756"/>
      <c r="AB9" s="755" t="s">
        <v>80</v>
      </c>
      <c r="AC9" s="675"/>
      <c r="AD9" s="676"/>
      <c r="AE9" s="674" t="s">
        <v>81</v>
      </c>
      <c r="AF9" s="675"/>
      <c r="AG9" s="676"/>
      <c r="AH9" s="674" t="s">
        <v>82</v>
      </c>
      <c r="AI9" s="676" t="s">
        <v>83</v>
      </c>
    </row>
    <row r="10" spans="1:35" s="25" customFormat="1" ht="32.65" customHeight="1" thickBot="1" x14ac:dyDescent="0.3">
      <c r="A10" s="89"/>
      <c r="B10" s="729"/>
      <c r="C10" s="86" t="s">
        <v>84</v>
      </c>
      <c r="D10" s="764" t="s">
        <v>85</v>
      </c>
      <c r="E10" s="900"/>
      <c r="F10" s="752"/>
      <c r="G10" s="753"/>
      <c r="H10" s="754"/>
      <c r="I10" s="86" t="s">
        <v>230</v>
      </c>
      <c r="J10" s="201" t="s">
        <v>231</v>
      </c>
      <c r="K10" s="90" t="s">
        <v>232</v>
      </c>
      <c r="L10" s="400" t="s">
        <v>233</v>
      </c>
      <c r="M10" s="401" t="s">
        <v>234</v>
      </c>
      <c r="N10" s="402" t="s">
        <v>91</v>
      </c>
      <c r="O10" s="86" t="s">
        <v>92</v>
      </c>
      <c r="P10" s="90" t="s">
        <v>93</v>
      </c>
      <c r="R10" s="646"/>
      <c r="T10" s="672" t="s">
        <v>94</v>
      </c>
      <c r="U10" s="673"/>
      <c r="V10" s="345" t="s">
        <v>95</v>
      </c>
      <c r="W10" s="91" t="s">
        <v>96</v>
      </c>
      <c r="X10" s="92" t="s">
        <v>95</v>
      </c>
      <c r="Y10" s="350"/>
      <c r="Z10" s="350"/>
      <c r="AA10" s="350"/>
      <c r="AB10" s="338" t="s">
        <v>80</v>
      </c>
      <c r="AC10" s="49" t="s">
        <v>80</v>
      </c>
      <c r="AD10" s="92" t="s">
        <v>97</v>
      </c>
      <c r="AE10" s="91" t="s">
        <v>98</v>
      </c>
      <c r="AF10" s="49" t="s">
        <v>99</v>
      </c>
      <c r="AG10" s="92" t="s">
        <v>100</v>
      </c>
      <c r="AH10" s="672"/>
      <c r="AI10" s="899"/>
    </row>
    <row r="11" spans="1:35" s="25" customFormat="1" ht="30" x14ac:dyDescent="0.25">
      <c r="A11" s="89"/>
      <c r="B11" s="274">
        <v>1</v>
      </c>
      <c r="C11" s="390" t="s">
        <v>235</v>
      </c>
      <c r="D11" s="875"/>
      <c r="E11" s="876"/>
      <c r="F11" s="901"/>
      <c r="G11" s="902"/>
      <c r="H11" s="903"/>
      <c r="I11" s="306"/>
      <c r="J11" s="307"/>
      <c r="K11" s="308"/>
      <c r="L11" s="299" t="str">
        <f>IF(D11="","",IFERROR(IF(I11="","",((I11/1000)*V11*X11)*AD11),"This intervention is not permitted within the SSM ▲"))</f>
        <v/>
      </c>
      <c r="M11" s="318" t="str">
        <f>IF(I11="","",IF(J11+K11&gt;I11,"Length Error ▲",I11-J11-K11))</f>
        <v/>
      </c>
      <c r="N11" s="300" t="str">
        <f>IFERROR(IF(I11="","",IF(M11="Length Error ▲","Length Error ▲",((M11/1000)*V11*X11)*AD11)),"This intervention is not permitted within the SSM ▲")</f>
        <v/>
      </c>
      <c r="O11" s="147"/>
      <c r="P11" s="148"/>
      <c r="R11" s="646"/>
      <c r="T11" s="655" t="str">
        <f>IF(D11="","",VLOOKUP(D11,'9. All Habitats + Multipliers'!$C$4:$K$102,5,FALSE))</f>
        <v/>
      </c>
      <c r="U11" s="656"/>
      <c r="V11" s="348" t="str">
        <f>IF(T11="","",VLOOKUP(T11,'11. Lists'!$S$47:$U$50,2,FALSE))</f>
        <v/>
      </c>
      <c r="W11" s="93" t="str">
        <f>IF(D11="","",VLOOKUP(D11,'10. Condition and Temporal'!$B$6:$C$103,2,FALSE))</f>
        <v/>
      </c>
      <c r="X11" s="94" t="str">
        <f>IF(W11="","",VLOOKUP(W11,'11. Lists'!$F$47:$G$51,2,FALSE))</f>
        <v/>
      </c>
      <c r="Y11" s="48"/>
      <c r="Z11" s="48"/>
      <c r="AA11" s="48"/>
      <c r="AB11" s="188" t="str">
        <f>IF(F11="","",F11)</f>
        <v/>
      </c>
      <c r="AC11" s="95" t="str">
        <f>IF(AB11="","",VLOOKUP(AB11,'11. Lists'!$F$36:$H$38,2,FALSE))</f>
        <v/>
      </c>
      <c r="AD11" s="94" t="str">
        <f>IF(AB11="","",VLOOKUP(AB11,'11. Lists'!$F$36:$H$38,3,FALSE))</f>
        <v/>
      </c>
      <c r="AE11" s="302" t="str">
        <f>IF(D11="","",((J11/1000)*V11*X11)*AD11)</f>
        <v/>
      </c>
      <c r="AF11" s="303" t="str">
        <f>IF(D11="","",((K11/1000)*V11*X11)*AD11)</f>
        <v/>
      </c>
      <c r="AG11" s="96" t="str">
        <f>IF(D11="","",M11)</f>
        <v/>
      </c>
      <c r="AH11" s="93" t="str">
        <f>IF(T11="","",VLOOKUP(T11,'11. Lists'!$B$47:$D$49,3,FALSE))</f>
        <v/>
      </c>
      <c r="AI11" s="94" t="str">
        <f>IF(D11="","",VLOOKUP(D11,'10. Condition and Temporal'!$B$6:$L$103,4,FALSE))</f>
        <v/>
      </c>
    </row>
    <row r="12" spans="1:35" s="25" customFormat="1" ht="30" x14ac:dyDescent="0.25">
      <c r="B12" s="268">
        <v>2</v>
      </c>
      <c r="C12" s="390" t="s">
        <v>235</v>
      </c>
      <c r="D12" s="664"/>
      <c r="E12" s="665"/>
      <c r="F12" s="904"/>
      <c r="G12" s="905"/>
      <c r="H12" s="906"/>
      <c r="I12" s="309"/>
      <c r="J12" s="310"/>
      <c r="K12" s="311"/>
      <c r="L12" s="298" t="str">
        <f t="shared" ref="L12:L30" si="0">IF(D12="","",IFERROR(IF(I12="","",((I12/1000)*V12*X12)*AD12),"This intervention is not permitted within the SSM ▲"))</f>
        <v/>
      </c>
      <c r="M12" s="305" t="str">
        <f t="shared" ref="M12:M30" si="1">IF(I12="","",IF(J12+K12&gt;I12,"Length Error ▲",I12-J12-K12))</f>
        <v/>
      </c>
      <c r="N12" s="294" t="str">
        <f t="shared" ref="N12:N30" si="2">IFERROR(IF(I12="","",IF(M12="Length Error ▲","Length Error ▲",((M12/1000)*V12*X12)*AD12)),"This intervention is not permitted within the SSM ▲")</f>
        <v/>
      </c>
      <c r="O12" s="68"/>
      <c r="P12" s="3"/>
      <c r="R12" s="646"/>
      <c r="T12" s="655" t="str">
        <f>IF(D12="","",VLOOKUP(D12,'9. All Habitats + Multipliers'!$C$4:$K$102,5,FALSE))</f>
        <v/>
      </c>
      <c r="U12" s="656"/>
      <c r="V12" s="348" t="str">
        <f>IF(T12="","",VLOOKUP(T12,'11. Lists'!$S$47:$U$50,2,FALSE))</f>
        <v/>
      </c>
      <c r="W12" s="93" t="str">
        <f>IF(D12="","",VLOOKUP(D12,'10. Condition and Temporal'!$B$6:$C$103,2,FALSE))</f>
        <v/>
      </c>
      <c r="X12" s="94" t="str">
        <f>IF(W12="","",VLOOKUP(W12,'11. Lists'!$F$47:$G$51,2,FALSE))</f>
        <v/>
      </c>
      <c r="Y12" s="48"/>
      <c r="Z12" s="48"/>
      <c r="AA12" s="48"/>
      <c r="AB12" s="188" t="str">
        <f>IF(F12="","",F12)</f>
        <v/>
      </c>
      <c r="AC12" s="95" t="str">
        <f>IF(AB12="","",VLOOKUP(AB12,'11. Lists'!$F$36:$H$38,2,FALSE))</f>
        <v/>
      </c>
      <c r="AD12" s="94" t="str">
        <f>IF(AB12="","",VLOOKUP(AB12,'11. Lists'!$F$36:$H$38,3,FALSE))</f>
        <v/>
      </c>
      <c r="AE12" s="302" t="str">
        <f t="shared" ref="AE12:AE30" si="3">IF(D12="","",((J12/1000)*V12*X12)*AD12)</f>
        <v/>
      </c>
      <c r="AF12" s="303"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30" x14ac:dyDescent="0.25">
      <c r="B13" s="268">
        <v>3</v>
      </c>
      <c r="C13" s="390" t="s">
        <v>235</v>
      </c>
      <c r="D13" s="664"/>
      <c r="E13" s="665"/>
      <c r="F13" s="904"/>
      <c r="G13" s="905"/>
      <c r="H13" s="906"/>
      <c r="I13" s="309"/>
      <c r="J13" s="310"/>
      <c r="K13" s="311"/>
      <c r="L13" s="298" t="str">
        <f t="shared" si="0"/>
        <v/>
      </c>
      <c r="M13" s="305" t="str">
        <f t="shared" si="1"/>
        <v/>
      </c>
      <c r="N13" s="294" t="str">
        <f t="shared" si="2"/>
        <v/>
      </c>
      <c r="O13" s="290"/>
      <c r="P13" s="3"/>
      <c r="R13" s="646"/>
      <c r="T13" s="655" t="str">
        <f>IF(D13="","",VLOOKUP(D13,'9. All Habitats + Multipliers'!$C$4:$K$102,5,FALSE))</f>
        <v/>
      </c>
      <c r="U13" s="656"/>
      <c r="V13" s="348" t="str">
        <f>IF(T13="","",VLOOKUP(T13,'11. Lists'!$S$47:$U$50,2,FALSE))</f>
        <v/>
      </c>
      <c r="W13" s="93" t="str">
        <f>IF(D13="","",VLOOKUP(D13,'10. Condition and Temporal'!$B$6:$C$103,2,FALSE))</f>
        <v/>
      </c>
      <c r="X13" s="94" t="str">
        <f>IF(W13="","",VLOOKUP(W13,'11. Lists'!$F$47:$G$51,2,FALSE))</f>
        <v/>
      </c>
      <c r="Y13" s="48"/>
      <c r="Z13" s="48"/>
      <c r="AA13" s="48"/>
      <c r="AB13" s="188" t="str">
        <f t="shared" ref="AB13:AB30" si="6">IF(F13="","",F13)</f>
        <v/>
      </c>
      <c r="AC13" s="95" t="str">
        <f>IF(AB13="","",VLOOKUP(AB13,'11. Lists'!$F$36:$H$38,2,FALSE))</f>
        <v/>
      </c>
      <c r="AD13" s="94" t="str">
        <f>IF(AB13="","",VLOOKUP(AB13,'11. Lists'!$F$36:$H$38,3,FALSE))</f>
        <v/>
      </c>
      <c r="AE13" s="302" t="str">
        <f t="shared" si="3"/>
        <v/>
      </c>
      <c r="AF13" s="303" t="str">
        <f t="shared" si="4"/>
        <v/>
      </c>
      <c r="AG13" s="96" t="str">
        <f t="shared" si="5"/>
        <v/>
      </c>
      <c r="AH13" s="93" t="str">
        <f>IF(T13="","",VLOOKUP(T13,'11. Lists'!$B$47:$D$49,3,FALSE))</f>
        <v/>
      </c>
      <c r="AI13" s="94" t="str">
        <f>IF(D13="","",VLOOKUP(D13,'10. Condition and Temporal'!$B$6:$L$103,4,FALSE))</f>
        <v/>
      </c>
    </row>
    <row r="14" spans="1:35" s="25" customFormat="1" ht="30" x14ac:dyDescent="0.25">
      <c r="B14" s="268">
        <v>4</v>
      </c>
      <c r="C14" s="390" t="s">
        <v>235</v>
      </c>
      <c r="D14" s="664"/>
      <c r="E14" s="665"/>
      <c r="F14" s="904"/>
      <c r="G14" s="905"/>
      <c r="H14" s="906"/>
      <c r="I14" s="309"/>
      <c r="J14" s="310"/>
      <c r="K14" s="311"/>
      <c r="L14" s="298" t="str">
        <f t="shared" si="0"/>
        <v/>
      </c>
      <c r="M14" s="305" t="str">
        <f t="shared" si="1"/>
        <v/>
      </c>
      <c r="N14" s="294" t="str">
        <f t="shared" si="2"/>
        <v/>
      </c>
      <c r="O14" s="68"/>
      <c r="P14" s="3"/>
      <c r="R14" s="646"/>
      <c r="T14" s="655" t="str">
        <f>IF(D14="","",VLOOKUP(D14,'9. All Habitats + Multipliers'!$C$4:$K$102,5,FALSE))</f>
        <v/>
      </c>
      <c r="U14" s="656"/>
      <c r="V14" s="348" t="str">
        <f>IF(T14="","",VLOOKUP(T14,'11. Lists'!$S$47:$U$50,2,FALSE))</f>
        <v/>
      </c>
      <c r="W14" s="93" t="str">
        <f>IF(D14="","",VLOOKUP(D14,'10. Condition and Temporal'!$B$6:$C$103,2,FALSE))</f>
        <v/>
      </c>
      <c r="X14" s="94" t="str">
        <f>IF(W14="","",VLOOKUP(W14,'11. Lists'!$F$47:$G$51,2,FALSE))</f>
        <v/>
      </c>
      <c r="Y14" s="48"/>
      <c r="Z14" s="48"/>
      <c r="AA14" s="48"/>
      <c r="AB14" s="188" t="str">
        <f t="shared" si="6"/>
        <v/>
      </c>
      <c r="AC14" s="95" t="str">
        <f>IF(AB14="","",VLOOKUP(AB14,'11. Lists'!$F$36:$H$38,2,FALSE))</f>
        <v/>
      </c>
      <c r="AD14" s="94" t="str">
        <f>IF(AB14="","",VLOOKUP(AB14,'11. Lists'!$F$36:$H$38,3,FALSE))</f>
        <v/>
      </c>
      <c r="AE14" s="302" t="str">
        <f t="shared" si="3"/>
        <v/>
      </c>
      <c r="AF14" s="303" t="str">
        <f t="shared" si="4"/>
        <v/>
      </c>
      <c r="AG14" s="96" t="str">
        <f t="shared" si="5"/>
        <v/>
      </c>
      <c r="AH14" s="93" t="str">
        <f>IF(T14="","",VLOOKUP(T14,'11. Lists'!$B$47:$D$49,3,FALSE))</f>
        <v/>
      </c>
      <c r="AI14" s="94" t="str">
        <f>IF(D14="","",VLOOKUP(D14,'10. Condition and Temporal'!$B$6:$L$103,4,FALSE))</f>
        <v/>
      </c>
    </row>
    <row r="15" spans="1:35" s="25" customFormat="1" ht="30" x14ac:dyDescent="0.25">
      <c r="B15" s="268">
        <v>5</v>
      </c>
      <c r="C15" s="390" t="s">
        <v>235</v>
      </c>
      <c r="D15" s="664"/>
      <c r="E15" s="665"/>
      <c r="F15" s="759"/>
      <c r="G15" s="760"/>
      <c r="H15" s="761"/>
      <c r="I15" s="309"/>
      <c r="J15" s="310"/>
      <c r="K15" s="311"/>
      <c r="L15" s="298" t="str">
        <f t="shared" si="0"/>
        <v/>
      </c>
      <c r="M15" s="305" t="str">
        <f t="shared" si="1"/>
        <v/>
      </c>
      <c r="N15" s="294" t="str">
        <f t="shared" si="2"/>
        <v/>
      </c>
      <c r="O15" s="68"/>
      <c r="P15" s="3"/>
      <c r="R15" s="646"/>
      <c r="T15" s="655" t="str">
        <f>IF(D15="","",VLOOKUP(D15,'9. All Habitats + Multipliers'!$C$4:$K$102,5,FALSE))</f>
        <v/>
      </c>
      <c r="U15" s="656"/>
      <c r="V15" s="348" t="str">
        <f>IF(T15="","",VLOOKUP(T15,'11. Lists'!$S$47:$U$50,2,FALSE))</f>
        <v/>
      </c>
      <c r="W15" s="93" t="str">
        <f>IF(D15="","",VLOOKUP(D15,'10. Condition and Temporal'!$B$6:$C$103,2,FALSE))</f>
        <v/>
      </c>
      <c r="X15" s="94" t="str">
        <f>IF(W15="","",VLOOKUP(W15,'11. Lists'!$F$47:$G$51,2,FALSE))</f>
        <v/>
      </c>
      <c r="Y15" s="48"/>
      <c r="Z15" s="48"/>
      <c r="AA15" s="48"/>
      <c r="AB15" s="188" t="str">
        <f t="shared" si="6"/>
        <v/>
      </c>
      <c r="AC15" s="95" t="str">
        <f>IF(AB15="","",VLOOKUP(AB15,'11. Lists'!$F$36:$H$38,2,FALSE))</f>
        <v/>
      </c>
      <c r="AD15" s="94" t="str">
        <f>IF(AB15="","",VLOOKUP(AB15,'11. Lists'!$F$36:$H$38,3,FALSE))</f>
        <v/>
      </c>
      <c r="AE15" s="302" t="str">
        <f t="shared" si="3"/>
        <v/>
      </c>
      <c r="AF15" s="303" t="str">
        <f t="shared" si="4"/>
        <v/>
      </c>
      <c r="AG15" s="96" t="str">
        <f t="shared" si="5"/>
        <v/>
      </c>
      <c r="AH15" s="93" t="str">
        <f>IF(T15="","",VLOOKUP(T15,'11. Lists'!$B$47:$D$49,3,FALSE))</f>
        <v/>
      </c>
      <c r="AI15" s="94" t="str">
        <f>IF(D15="","",VLOOKUP(D15,'10. Condition and Temporal'!$B$6:$L$103,4,FALSE))</f>
        <v/>
      </c>
    </row>
    <row r="16" spans="1:35" s="25" customFormat="1" ht="30" x14ac:dyDescent="0.25">
      <c r="B16" s="268">
        <v>6</v>
      </c>
      <c r="C16" s="390" t="s">
        <v>235</v>
      </c>
      <c r="D16" s="664"/>
      <c r="E16" s="665"/>
      <c r="F16" s="759"/>
      <c r="G16" s="760"/>
      <c r="H16" s="761"/>
      <c r="I16" s="309"/>
      <c r="J16" s="310"/>
      <c r="K16" s="311"/>
      <c r="L16" s="298" t="str">
        <f t="shared" si="0"/>
        <v/>
      </c>
      <c r="M16" s="305" t="str">
        <f t="shared" si="1"/>
        <v/>
      </c>
      <c r="N16" s="294" t="str">
        <f t="shared" si="2"/>
        <v/>
      </c>
      <c r="O16" s="68"/>
      <c r="P16" s="3"/>
      <c r="R16" s="646"/>
      <c r="T16" s="655" t="str">
        <f>IF(D16="","",VLOOKUP(D16,'9. All Habitats + Multipliers'!$C$4:$K$102,5,FALSE))</f>
        <v/>
      </c>
      <c r="U16" s="656"/>
      <c r="V16" s="348" t="str">
        <f>IF(T16="","",VLOOKUP(T16,'11. Lists'!$S$47:$U$50,2,FALSE))</f>
        <v/>
      </c>
      <c r="W16" s="93" t="str">
        <f>IF(D16="","",VLOOKUP(D16,'10. Condition and Temporal'!$B$6:$C$103,2,FALSE))</f>
        <v/>
      </c>
      <c r="X16" s="94" t="str">
        <f>IF(W16="","",VLOOKUP(W16,'11. Lists'!$F$47:$G$51,2,FALSE))</f>
        <v/>
      </c>
      <c r="Y16" s="48"/>
      <c r="Z16" s="48"/>
      <c r="AA16" s="48"/>
      <c r="AB16" s="188" t="str">
        <f t="shared" si="6"/>
        <v/>
      </c>
      <c r="AC16" s="95" t="str">
        <f>IF(AB16="","",VLOOKUP(AB16,'11. Lists'!$F$36:$H$38,2,FALSE))</f>
        <v/>
      </c>
      <c r="AD16" s="94" t="str">
        <f>IF(AB16="","",VLOOKUP(AB16,'11. Lists'!$F$36:$H$38,3,FALSE))</f>
        <v/>
      </c>
      <c r="AE16" s="302" t="str">
        <f t="shared" si="3"/>
        <v/>
      </c>
      <c r="AF16" s="303" t="str">
        <f t="shared" si="4"/>
        <v/>
      </c>
      <c r="AG16" s="96" t="str">
        <f t="shared" si="5"/>
        <v/>
      </c>
      <c r="AH16" s="93" t="str">
        <f>IF(T16="","",VLOOKUP(T16,'11. Lists'!$B$47:$D$49,3,FALSE))</f>
        <v/>
      </c>
      <c r="AI16" s="94" t="str">
        <f>IF(D16="","",VLOOKUP(D16,'10. Condition and Temporal'!$B$6:$L$103,4,FALSE))</f>
        <v/>
      </c>
    </row>
    <row r="17" spans="2:35" s="25" customFormat="1" ht="30" x14ac:dyDescent="0.25">
      <c r="B17" s="268">
        <v>7</v>
      </c>
      <c r="C17" s="390" t="s">
        <v>235</v>
      </c>
      <c r="D17" s="664"/>
      <c r="E17" s="665"/>
      <c r="F17" s="759"/>
      <c r="G17" s="760"/>
      <c r="H17" s="761"/>
      <c r="I17" s="309"/>
      <c r="J17" s="310"/>
      <c r="K17" s="311"/>
      <c r="L17" s="298" t="str">
        <f t="shared" si="0"/>
        <v/>
      </c>
      <c r="M17" s="305" t="str">
        <f t="shared" si="1"/>
        <v/>
      </c>
      <c r="N17" s="294" t="str">
        <f t="shared" si="2"/>
        <v/>
      </c>
      <c r="O17" s="68"/>
      <c r="P17" s="3"/>
      <c r="R17" s="646"/>
      <c r="T17" s="655" t="str">
        <f>IF(D17="","",VLOOKUP(D17,'9. All Habitats + Multipliers'!$C$4:$K$102,5,FALSE))</f>
        <v/>
      </c>
      <c r="U17" s="656"/>
      <c r="V17" s="348" t="str">
        <f>IF(T17="","",VLOOKUP(T17,'11. Lists'!$S$47:$U$50,2,FALSE))</f>
        <v/>
      </c>
      <c r="W17" s="93" t="str">
        <f>IF(D17="","",VLOOKUP(D17,'10. Condition and Temporal'!$B$6:$C$103,2,FALSE))</f>
        <v/>
      </c>
      <c r="X17" s="94" t="str">
        <f>IF(W17="","",VLOOKUP(W17,'11. Lists'!$F$47:$G$51,2,FALSE))</f>
        <v/>
      </c>
      <c r="Y17" s="48"/>
      <c r="Z17" s="48"/>
      <c r="AA17" s="48"/>
      <c r="AB17" s="188" t="str">
        <f t="shared" si="6"/>
        <v/>
      </c>
      <c r="AC17" s="95" t="str">
        <f>IF(AB17="","",VLOOKUP(AB17,'11. Lists'!$F$36:$H$38,2,FALSE))</f>
        <v/>
      </c>
      <c r="AD17" s="94" t="str">
        <f>IF(AB17="","",VLOOKUP(AB17,'11. Lists'!$F$36:$H$38,3,FALSE))</f>
        <v/>
      </c>
      <c r="AE17" s="302" t="str">
        <f t="shared" si="3"/>
        <v/>
      </c>
      <c r="AF17" s="303" t="str">
        <f t="shared" si="4"/>
        <v/>
      </c>
      <c r="AG17" s="96" t="str">
        <f t="shared" si="5"/>
        <v/>
      </c>
      <c r="AH17" s="93" t="str">
        <f>IF(T17="","",VLOOKUP(T17,'11. Lists'!$B$47:$D$49,3,FALSE))</f>
        <v/>
      </c>
      <c r="AI17" s="94" t="str">
        <f>IF(D17="","",VLOOKUP(D17,'10. Condition and Temporal'!$B$6:$L$103,4,FALSE))</f>
        <v/>
      </c>
    </row>
    <row r="18" spans="2:35" s="25" customFormat="1" ht="30" x14ac:dyDescent="0.25">
      <c r="B18" s="268">
        <v>8</v>
      </c>
      <c r="C18" s="390" t="s">
        <v>235</v>
      </c>
      <c r="D18" s="664"/>
      <c r="E18" s="665"/>
      <c r="F18" s="759"/>
      <c r="G18" s="760"/>
      <c r="H18" s="761"/>
      <c r="I18" s="309"/>
      <c r="J18" s="310"/>
      <c r="K18" s="311"/>
      <c r="L18" s="298" t="str">
        <f t="shared" si="0"/>
        <v/>
      </c>
      <c r="M18" s="305" t="str">
        <f t="shared" si="1"/>
        <v/>
      </c>
      <c r="N18" s="294" t="str">
        <f t="shared" si="2"/>
        <v/>
      </c>
      <c r="O18" s="68"/>
      <c r="P18" s="3"/>
      <c r="R18" s="646"/>
      <c r="T18" s="655" t="str">
        <f>IF(D18="","",VLOOKUP(D18,'9. All Habitats + Multipliers'!$C$4:$K$102,5,FALSE))</f>
        <v/>
      </c>
      <c r="U18" s="656"/>
      <c r="V18" s="348" t="str">
        <f>IF(T18="","",VLOOKUP(T18,'11. Lists'!$S$47:$U$50,2,FALSE))</f>
        <v/>
      </c>
      <c r="W18" s="93" t="str">
        <f>IF(D18="","",VLOOKUP(D18,'10. Condition and Temporal'!$B$6:$C$103,2,FALSE))</f>
        <v/>
      </c>
      <c r="X18" s="94" t="str">
        <f>IF(W18="","",VLOOKUP(W18,'11. Lists'!$F$47:$G$51,2,FALSE))</f>
        <v/>
      </c>
      <c r="Y18" s="48"/>
      <c r="Z18" s="48"/>
      <c r="AA18" s="48"/>
      <c r="AB18" s="188" t="str">
        <f t="shared" si="6"/>
        <v/>
      </c>
      <c r="AC18" s="95" t="str">
        <f>IF(AB18="","",VLOOKUP(AB18,'11. Lists'!$F$36:$H$38,2,FALSE))</f>
        <v/>
      </c>
      <c r="AD18" s="94" t="str">
        <f>IF(AB18="","",VLOOKUP(AB18,'11. Lists'!$F$36:$H$38,3,FALSE))</f>
        <v/>
      </c>
      <c r="AE18" s="302" t="str">
        <f t="shared" si="3"/>
        <v/>
      </c>
      <c r="AF18" s="303" t="str">
        <f t="shared" si="4"/>
        <v/>
      </c>
      <c r="AG18" s="96" t="str">
        <f t="shared" si="5"/>
        <v/>
      </c>
      <c r="AH18" s="93" t="str">
        <f>IF(T18="","",VLOOKUP(T18,'11. Lists'!$B$47:$D$49,3,FALSE))</f>
        <v/>
      </c>
      <c r="AI18" s="94" t="str">
        <f>IF(D18="","",VLOOKUP(D18,'10. Condition and Temporal'!$B$6:$L$103,4,FALSE))</f>
        <v/>
      </c>
    </row>
    <row r="19" spans="2:35" s="25" customFormat="1" ht="30" x14ac:dyDescent="0.25">
      <c r="B19" s="268">
        <v>9</v>
      </c>
      <c r="C19" s="390" t="s">
        <v>235</v>
      </c>
      <c r="D19" s="664"/>
      <c r="E19" s="665"/>
      <c r="F19" s="759"/>
      <c r="G19" s="760"/>
      <c r="H19" s="761"/>
      <c r="I19" s="309"/>
      <c r="J19" s="310"/>
      <c r="K19" s="311"/>
      <c r="L19" s="298" t="str">
        <f t="shared" si="0"/>
        <v/>
      </c>
      <c r="M19" s="305" t="str">
        <f t="shared" si="1"/>
        <v/>
      </c>
      <c r="N19" s="294" t="str">
        <f t="shared" si="2"/>
        <v/>
      </c>
      <c r="O19" s="68"/>
      <c r="P19" s="3"/>
      <c r="R19" s="646"/>
      <c r="T19" s="655" t="str">
        <f>IF(D19="","",VLOOKUP(D19,'9. All Habitats + Multipliers'!$C$4:$K$102,5,FALSE))</f>
        <v/>
      </c>
      <c r="U19" s="656"/>
      <c r="V19" s="348" t="str">
        <f>IF(T19="","",VLOOKUP(T19,'11. Lists'!$S$47:$U$50,2,FALSE))</f>
        <v/>
      </c>
      <c r="W19" s="93" t="str">
        <f>IF(D19="","",VLOOKUP(D19,'10. Condition and Temporal'!$B$6:$C$103,2,FALSE))</f>
        <v/>
      </c>
      <c r="X19" s="94" t="str">
        <f>IF(W19="","",VLOOKUP(W19,'11. Lists'!$F$47:$G$51,2,FALSE))</f>
        <v/>
      </c>
      <c r="Y19" s="48"/>
      <c r="Z19" s="48"/>
      <c r="AA19" s="48"/>
      <c r="AB19" s="188" t="str">
        <f t="shared" si="6"/>
        <v/>
      </c>
      <c r="AC19" s="95" t="str">
        <f>IF(AB19="","",VLOOKUP(AB19,'11. Lists'!$F$36:$H$38,2,FALSE))</f>
        <v/>
      </c>
      <c r="AD19" s="94" t="str">
        <f>IF(AB19="","",VLOOKUP(AB19,'11. Lists'!$F$36:$H$38,3,FALSE))</f>
        <v/>
      </c>
      <c r="AE19" s="302" t="str">
        <f t="shared" si="3"/>
        <v/>
      </c>
      <c r="AF19" s="303" t="str">
        <f t="shared" si="4"/>
        <v/>
      </c>
      <c r="AG19" s="96" t="str">
        <f t="shared" si="5"/>
        <v/>
      </c>
      <c r="AH19" s="93" t="str">
        <f>IF(T19="","",VLOOKUP(T19,'11. Lists'!$B$47:$D$49,3,FALSE))</f>
        <v/>
      </c>
      <c r="AI19" s="94" t="str">
        <f>IF(D19="","",VLOOKUP(D19,'10. Condition and Temporal'!$B$6:$L$103,4,FALSE))</f>
        <v/>
      </c>
    </row>
    <row r="20" spans="2:35" s="25" customFormat="1" ht="30" x14ac:dyDescent="0.25">
      <c r="B20" s="268">
        <v>10</v>
      </c>
      <c r="C20" s="391" t="s">
        <v>235</v>
      </c>
      <c r="D20" s="664"/>
      <c r="E20" s="665"/>
      <c r="F20" s="759"/>
      <c r="G20" s="760"/>
      <c r="H20" s="761"/>
      <c r="I20" s="309"/>
      <c r="J20" s="310"/>
      <c r="K20" s="311"/>
      <c r="L20" s="298" t="str">
        <f t="shared" si="0"/>
        <v/>
      </c>
      <c r="M20" s="305" t="str">
        <f t="shared" si="1"/>
        <v/>
      </c>
      <c r="N20" s="294" t="str">
        <f t="shared" si="2"/>
        <v/>
      </c>
      <c r="O20" s="69"/>
      <c r="P20" s="8"/>
      <c r="R20" s="646"/>
      <c r="T20" s="655" t="str">
        <f>IF(D20="","",VLOOKUP(D20,'9. All Habitats + Multipliers'!$C$4:$K$102,5,FALSE))</f>
        <v/>
      </c>
      <c r="U20" s="656"/>
      <c r="V20" s="348" t="str">
        <f>IF(T20="","",VLOOKUP(T20,'11. Lists'!$S$47:$U$50,2,FALSE))</f>
        <v/>
      </c>
      <c r="W20" s="93" t="str">
        <f>IF(D20="","",VLOOKUP(D20,'10. Condition and Temporal'!$B$6:$C$103,2,FALSE))</f>
        <v/>
      </c>
      <c r="X20" s="94" t="str">
        <f>IF(W20="","",VLOOKUP(W20,'11. Lists'!$F$47:$G$51,2,FALSE))</f>
        <v/>
      </c>
      <c r="Y20" s="48"/>
      <c r="Z20" s="48"/>
      <c r="AA20" s="48"/>
      <c r="AB20" s="188" t="str">
        <f t="shared" si="6"/>
        <v/>
      </c>
      <c r="AC20" s="95" t="str">
        <f>IF(AB20="","",VLOOKUP(AB20,'11. Lists'!$F$36:$H$38,2,FALSE))</f>
        <v/>
      </c>
      <c r="AD20" s="94" t="str">
        <f>IF(AB20="","",VLOOKUP(AB20,'11. Lists'!$F$36:$H$38,3,FALSE))</f>
        <v/>
      </c>
      <c r="AE20" s="302" t="str">
        <f t="shared" si="3"/>
        <v/>
      </c>
      <c r="AF20" s="303" t="str">
        <f t="shared" si="4"/>
        <v/>
      </c>
      <c r="AG20" s="96" t="str">
        <f t="shared" si="5"/>
        <v/>
      </c>
      <c r="AH20" s="93" t="str">
        <f>IF(T20="","",VLOOKUP(T20,'11. Lists'!$B$47:$D$49,3,FALSE))</f>
        <v/>
      </c>
      <c r="AI20" s="94" t="str">
        <f>IF(D20="","",VLOOKUP(D20,'10. Condition and Temporal'!$B$6:$L$103,4,FALSE))</f>
        <v/>
      </c>
    </row>
    <row r="21" spans="2:35" s="25" customFormat="1" ht="30" x14ac:dyDescent="0.25">
      <c r="B21" s="268">
        <v>11</v>
      </c>
      <c r="C21" s="390" t="s">
        <v>235</v>
      </c>
      <c r="D21" s="664"/>
      <c r="E21" s="665"/>
      <c r="F21" s="759"/>
      <c r="G21" s="760"/>
      <c r="H21" s="761"/>
      <c r="I21" s="309"/>
      <c r="J21" s="310"/>
      <c r="K21" s="311"/>
      <c r="L21" s="298" t="str">
        <f t="shared" si="0"/>
        <v/>
      </c>
      <c r="M21" s="305" t="str">
        <f t="shared" si="1"/>
        <v/>
      </c>
      <c r="N21" s="294" t="str">
        <f t="shared" si="2"/>
        <v/>
      </c>
      <c r="O21" s="69"/>
      <c r="P21" s="8"/>
      <c r="R21" s="646"/>
      <c r="T21" s="655" t="str">
        <f>IF(D21="","",VLOOKUP(D21,'9. All Habitats + Multipliers'!$C$4:$K$102,5,FALSE))</f>
        <v/>
      </c>
      <c r="U21" s="656"/>
      <c r="V21" s="348" t="str">
        <f>IF(T21="","",VLOOKUP(T21,'11. Lists'!$S$47:$U$50,2,FALSE))</f>
        <v/>
      </c>
      <c r="W21" s="93" t="str">
        <f>IF(D21="","",VLOOKUP(D21,'10. Condition and Temporal'!$B$6:$C$103,2,FALSE))</f>
        <v/>
      </c>
      <c r="X21" s="94" t="str">
        <f>IF(W21="","",VLOOKUP(W21,'11. Lists'!$F$47:$G$51,2,FALSE))</f>
        <v/>
      </c>
      <c r="Y21" s="48"/>
      <c r="Z21" s="48"/>
      <c r="AA21" s="48"/>
      <c r="AB21" s="188" t="str">
        <f t="shared" si="6"/>
        <v/>
      </c>
      <c r="AC21" s="95" t="str">
        <f>IF(AB21="","",VLOOKUP(AB21,'11. Lists'!$F$36:$H$38,2,FALSE))</f>
        <v/>
      </c>
      <c r="AD21" s="94" t="str">
        <f>IF(AB21="","",VLOOKUP(AB21,'11. Lists'!$F$36:$H$38,3,FALSE))</f>
        <v/>
      </c>
      <c r="AE21" s="302" t="str">
        <f t="shared" si="3"/>
        <v/>
      </c>
      <c r="AF21" s="303" t="str">
        <f t="shared" si="4"/>
        <v/>
      </c>
      <c r="AG21" s="96" t="str">
        <f t="shared" si="5"/>
        <v/>
      </c>
      <c r="AH21" s="93" t="str">
        <f>IF(T21="","",VLOOKUP(T21,'11. Lists'!$B$47:$D$49,3,FALSE))</f>
        <v/>
      </c>
      <c r="AI21" s="94" t="str">
        <f>IF(D21="","",VLOOKUP(D21,'10. Condition and Temporal'!$B$6:$L$103,4,FALSE))</f>
        <v/>
      </c>
    </row>
    <row r="22" spans="2:35" s="25" customFormat="1" ht="30" x14ac:dyDescent="0.25">
      <c r="B22" s="268">
        <v>12</v>
      </c>
      <c r="C22" s="390" t="s">
        <v>235</v>
      </c>
      <c r="D22" s="664"/>
      <c r="E22" s="665"/>
      <c r="F22" s="759"/>
      <c r="G22" s="760"/>
      <c r="H22" s="761"/>
      <c r="I22" s="309"/>
      <c r="J22" s="310"/>
      <c r="K22" s="311"/>
      <c r="L22" s="298" t="str">
        <f t="shared" si="0"/>
        <v/>
      </c>
      <c r="M22" s="305" t="str">
        <f t="shared" si="1"/>
        <v/>
      </c>
      <c r="N22" s="294" t="str">
        <f t="shared" si="2"/>
        <v/>
      </c>
      <c r="O22" s="69"/>
      <c r="P22" s="8"/>
      <c r="R22" s="646"/>
      <c r="T22" s="655" t="str">
        <f>IF(D22="","",VLOOKUP(D22,'9. All Habitats + Multipliers'!$C$4:$K$102,5,FALSE))</f>
        <v/>
      </c>
      <c r="U22" s="656"/>
      <c r="V22" s="348" t="str">
        <f>IF(T22="","",VLOOKUP(T22,'11. Lists'!$S$47:$U$50,2,FALSE))</f>
        <v/>
      </c>
      <c r="W22" s="93" t="str">
        <f>IF(D22="","",VLOOKUP(D22,'10. Condition and Temporal'!$B$6:$C$103,2,FALSE))</f>
        <v/>
      </c>
      <c r="X22" s="94" t="str">
        <f>IF(W22="","",VLOOKUP(W22,'11. Lists'!$F$47:$G$51,2,FALSE))</f>
        <v/>
      </c>
      <c r="Y22" s="48"/>
      <c r="Z22" s="48"/>
      <c r="AA22" s="48"/>
      <c r="AB22" s="188" t="str">
        <f t="shared" si="6"/>
        <v/>
      </c>
      <c r="AC22" s="95" t="str">
        <f>IF(AB22="","",VLOOKUP(AB22,'11. Lists'!$F$36:$H$38,2,FALSE))</f>
        <v/>
      </c>
      <c r="AD22" s="94" t="str">
        <f>IF(AB22="","",VLOOKUP(AB22,'11. Lists'!$F$36:$H$38,3,FALSE))</f>
        <v/>
      </c>
      <c r="AE22" s="302" t="str">
        <f t="shared" si="3"/>
        <v/>
      </c>
      <c r="AF22" s="303" t="str">
        <f t="shared" si="4"/>
        <v/>
      </c>
      <c r="AG22" s="96" t="str">
        <f t="shared" si="5"/>
        <v/>
      </c>
      <c r="AH22" s="93" t="str">
        <f>IF(T22="","",VLOOKUP(T22,'11. Lists'!$B$47:$D$49,3,FALSE))</f>
        <v/>
      </c>
      <c r="AI22" s="94" t="str">
        <f>IF(D22="","",VLOOKUP(D22,'10. Condition and Temporal'!$B$6:$L$103,4,FALSE))</f>
        <v/>
      </c>
    </row>
    <row r="23" spans="2:35" s="25" customFormat="1" ht="30" x14ac:dyDescent="0.25">
      <c r="B23" s="268">
        <v>13</v>
      </c>
      <c r="C23" s="390" t="s">
        <v>235</v>
      </c>
      <c r="D23" s="664"/>
      <c r="E23" s="665"/>
      <c r="F23" s="759"/>
      <c r="G23" s="760"/>
      <c r="H23" s="761"/>
      <c r="I23" s="309"/>
      <c r="J23" s="310"/>
      <c r="K23" s="311"/>
      <c r="L23" s="298" t="str">
        <f t="shared" si="0"/>
        <v/>
      </c>
      <c r="M23" s="305" t="str">
        <f t="shared" si="1"/>
        <v/>
      </c>
      <c r="N23" s="294" t="str">
        <f t="shared" si="2"/>
        <v/>
      </c>
      <c r="O23" s="69"/>
      <c r="P23" s="8"/>
      <c r="R23" s="646"/>
      <c r="T23" s="655" t="str">
        <f>IF(D23="","",VLOOKUP(D23,'9. All Habitats + Multipliers'!$C$4:$K$102,5,FALSE))</f>
        <v/>
      </c>
      <c r="U23" s="656"/>
      <c r="V23" s="348" t="str">
        <f>IF(T23="","",VLOOKUP(T23,'11. Lists'!$S$47:$U$50,2,FALSE))</f>
        <v/>
      </c>
      <c r="W23" s="93" t="str">
        <f>IF(D23="","",VLOOKUP(D23,'10. Condition and Temporal'!$B$6:$C$103,2,FALSE))</f>
        <v/>
      </c>
      <c r="X23" s="94" t="str">
        <f>IF(W23="","",VLOOKUP(W23,'11. Lists'!$F$47:$G$51,2,FALSE))</f>
        <v/>
      </c>
      <c r="Y23" s="48"/>
      <c r="Z23" s="48"/>
      <c r="AA23" s="48"/>
      <c r="AB23" s="188" t="str">
        <f t="shared" si="6"/>
        <v/>
      </c>
      <c r="AC23" s="95" t="str">
        <f>IF(AB23="","",VLOOKUP(AB23,'11. Lists'!$F$36:$H$38,2,FALSE))</f>
        <v/>
      </c>
      <c r="AD23" s="94" t="str">
        <f>IF(AB23="","",VLOOKUP(AB23,'11. Lists'!$F$36:$H$38,3,FALSE))</f>
        <v/>
      </c>
      <c r="AE23" s="302" t="str">
        <f t="shared" si="3"/>
        <v/>
      </c>
      <c r="AF23" s="303" t="str">
        <f t="shared" si="4"/>
        <v/>
      </c>
      <c r="AG23" s="96" t="str">
        <f t="shared" si="5"/>
        <v/>
      </c>
      <c r="AH23" s="93" t="str">
        <f>IF(T23="","",VLOOKUP(T23,'11. Lists'!$B$47:$D$49,3,FALSE))</f>
        <v/>
      </c>
      <c r="AI23" s="94" t="str">
        <f>IF(D23="","",VLOOKUP(D23,'10. Condition and Temporal'!$B$6:$L$103,4,FALSE))</f>
        <v/>
      </c>
    </row>
    <row r="24" spans="2:35" s="25" customFormat="1" ht="30" x14ac:dyDescent="0.25">
      <c r="B24" s="268">
        <v>14</v>
      </c>
      <c r="C24" s="390" t="s">
        <v>235</v>
      </c>
      <c r="D24" s="664"/>
      <c r="E24" s="665"/>
      <c r="F24" s="759"/>
      <c r="G24" s="760"/>
      <c r="H24" s="761"/>
      <c r="I24" s="309"/>
      <c r="J24" s="310"/>
      <c r="K24" s="311"/>
      <c r="L24" s="298" t="str">
        <f t="shared" si="0"/>
        <v/>
      </c>
      <c r="M24" s="305" t="str">
        <f t="shared" si="1"/>
        <v/>
      </c>
      <c r="N24" s="294" t="str">
        <f t="shared" si="2"/>
        <v/>
      </c>
      <c r="O24" s="69"/>
      <c r="P24" s="8"/>
      <c r="R24" s="646"/>
      <c r="T24" s="655" t="str">
        <f>IF(D24="","",VLOOKUP(D24,'9. All Habitats + Multipliers'!$C$4:$K$102,5,FALSE))</f>
        <v/>
      </c>
      <c r="U24" s="656"/>
      <c r="V24" s="348" t="str">
        <f>IF(T24="","",VLOOKUP(T24,'11. Lists'!$S$47:$U$50,2,FALSE))</f>
        <v/>
      </c>
      <c r="W24" s="93" t="str">
        <f>IF(D24="","",VLOOKUP(D24,'10. Condition and Temporal'!$B$6:$C$103,2,FALSE))</f>
        <v/>
      </c>
      <c r="X24" s="94" t="str">
        <f>IF(W24="","",VLOOKUP(W24,'11. Lists'!$F$47:$G$51,2,FALSE))</f>
        <v/>
      </c>
      <c r="Y24" s="48"/>
      <c r="Z24" s="48"/>
      <c r="AA24" s="48"/>
      <c r="AB24" s="188" t="str">
        <f t="shared" si="6"/>
        <v/>
      </c>
      <c r="AC24" s="95" t="str">
        <f>IF(AB24="","",VLOOKUP(AB24,'11. Lists'!$F$36:$H$38,2,FALSE))</f>
        <v/>
      </c>
      <c r="AD24" s="94" t="str">
        <f>IF(AB24="","",VLOOKUP(AB24,'11. Lists'!$F$36:$H$38,3,FALSE))</f>
        <v/>
      </c>
      <c r="AE24" s="302" t="str">
        <f t="shared" si="3"/>
        <v/>
      </c>
      <c r="AF24" s="303" t="str">
        <f t="shared" si="4"/>
        <v/>
      </c>
      <c r="AG24" s="96" t="str">
        <f t="shared" si="5"/>
        <v/>
      </c>
      <c r="AH24" s="93" t="str">
        <f>IF(T24="","",VLOOKUP(T24,'11. Lists'!$B$47:$D$49,3,FALSE))</f>
        <v/>
      </c>
      <c r="AI24" s="94" t="str">
        <f>IF(D24="","",VLOOKUP(D24,'10. Condition and Temporal'!$B$6:$L$103,4,FALSE))</f>
        <v/>
      </c>
    </row>
    <row r="25" spans="2:35" s="25" customFormat="1" ht="30" x14ac:dyDescent="0.25">
      <c r="B25" s="268">
        <v>15</v>
      </c>
      <c r="C25" s="390" t="s">
        <v>235</v>
      </c>
      <c r="D25" s="664"/>
      <c r="E25" s="665"/>
      <c r="F25" s="759"/>
      <c r="G25" s="760"/>
      <c r="H25" s="761"/>
      <c r="I25" s="309"/>
      <c r="J25" s="310"/>
      <c r="K25" s="311"/>
      <c r="L25" s="298" t="str">
        <f t="shared" si="0"/>
        <v/>
      </c>
      <c r="M25" s="305" t="str">
        <f t="shared" si="1"/>
        <v/>
      </c>
      <c r="N25" s="294" t="str">
        <f t="shared" si="2"/>
        <v/>
      </c>
      <c r="O25" s="69"/>
      <c r="P25" s="8"/>
      <c r="R25" s="646"/>
      <c r="T25" s="655" t="str">
        <f>IF(D25="","",VLOOKUP(D25,'9. All Habitats + Multipliers'!$C$4:$K$102,5,FALSE))</f>
        <v/>
      </c>
      <c r="U25" s="656"/>
      <c r="V25" s="348" t="str">
        <f>IF(T25="","",VLOOKUP(T25,'11. Lists'!$S$47:$U$50,2,FALSE))</f>
        <v/>
      </c>
      <c r="W25" s="93" t="str">
        <f>IF(D25="","",VLOOKUP(D25,'10. Condition and Temporal'!$B$6:$C$103,2,FALSE))</f>
        <v/>
      </c>
      <c r="X25" s="94" t="str">
        <f>IF(W25="","",VLOOKUP(W25,'11. Lists'!$F$47:$G$51,2,FALSE))</f>
        <v/>
      </c>
      <c r="Y25" s="48"/>
      <c r="Z25" s="48"/>
      <c r="AA25" s="48"/>
      <c r="AB25" s="188" t="str">
        <f t="shared" si="6"/>
        <v/>
      </c>
      <c r="AC25" s="95" t="str">
        <f>IF(AB25="","",VLOOKUP(AB25,'11. Lists'!$F$36:$H$38,2,FALSE))</f>
        <v/>
      </c>
      <c r="AD25" s="94" t="str">
        <f>IF(AB25="","",VLOOKUP(AB25,'11. Lists'!$F$36:$H$38,3,FALSE))</f>
        <v/>
      </c>
      <c r="AE25" s="302" t="str">
        <f t="shared" si="3"/>
        <v/>
      </c>
      <c r="AF25" s="303" t="str">
        <f t="shared" si="4"/>
        <v/>
      </c>
      <c r="AG25" s="96" t="str">
        <f t="shared" si="5"/>
        <v/>
      </c>
      <c r="AH25" s="93" t="str">
        <f>IF(T25="","",VLOOKUP(T25,'11. Lists'!$B$47:$D$49,3,FALSE))</f>
        <v/>
      </c>
      <c r="AI25" s="94" t="str">
        <f>IF(D25="","",VLOOKUP(D25,'10. Condition and Temporal'!$B$6:$L$103,4,FALSE))</f>
        <v/>
      </c>
    </row>
    <row r="26" spans="2:35" s="25" customFormat="1" ht="30" x14ac:dyDescent="0.25">
      <c r="B26" s="268">
        <v>16</v>
      </c>
      <c r="C26" s="390" t="s">
        <v>235</v>
      </c>
      <c r="D26" s="664"/>
      <c r="E26" s="665"/>
      <c r="F26" s="759"/>
      <c r="G26" s="760"/>
      <c r="H26" s="761"/>
      <c r="I26" s="309"/>
      <c r="J26" s="310"/>
      <c r="K26" s="311"/>
      <c r="L26" s="298" t="str">
        <f t="shared" si="0"/>
        <v/>
      </c>
      <c r="M26" s="305" t="str">
        <f t="shared" si="1"/>
        <v/>
      </c>
      <c r="N26" s="294" t="str">
        <f t="shared" si="2"/>
        <v/>
      </c>
      <c r="O26" s="69"/>
      <c r="P26" s="8"/>
      <c r="R26" s="646"/>
      <c r="T26" s="655" t="str">
        <f>IF(D26="","",VLOOKUP(D26,'9. All Habitats + Multipliers'!$C$4:$K$102,5,FALSE))</f>
        <v/>
      </c>
      <c r="U26" s="656"/>
      <c r="V26" s="348" t="str">
        <f>IF(T26="","",VLOOKUP(T26,'11. Lists'!$S$47:$U$50,2,FALSE))</f>
        <v/>
      </c>
      <c r="W26" s="93" t="str">
        <f>IF(D26="","",VLOOKUP(D26,'10. Condition and Temporal'!$B$6:$C$103,2,FALSE))</f>
        <v/>
      </c>
      <c r="X26" s="94" t="str">
        <f>IF(W26="","",VLOOKUP(W26,'11. Lists'!$F$47:$G$51,2,FALSE))</f>
        <v/>
      </c>
      <c r="Y26" s="48"/>
      <c r="Z26" s="48"/>
      <c r="AA26" s="48"/>
      <c r="AB26" s="188" t="str">
        <f t="shared" si="6"/>
        <v/>
      </c>
      <c r="AC26" s="95" t="str">
        <f>IF(AB26="","",VLOOKUP(AB26,'11. Lists'!$F$36:$H$38,2,FALSE))</f>
        <v/>
      </c>
      <c r="AD26" s="94" t="str">
        <f>IF(AB26="","",VLOOKUP(AB26,'11. Lists'!$F$36:$H$38,3,FALSE))</f>
        <v/>
      </c>
      <c r="AE26" s="302" t="str">
        <f t="shared" si="3"/>
        <v/>
      </c>
      <c r="AF26" s="303" t="str">
        <f t="shared" si="4"/>
        <v/>
      </c>
      <c r="AG26" s="96" t="str">
        <f t="shared" si="5"/>
        <v/>
      </c>
      <c r="AH26" s="93" t="str">
        <f>IF(T26="","",VLOOKUP(T26,'11. Lists'!$B$47:$D$49,3,FALSE))</f>
        <v/>
      </c>
      <c r="AI26" s="94" t="str">
        <f>IF(D26="","",VLOOKUP(D26,'10. Condition and Temporal'!$B$6:$L$103,4,FALSE))</f>
        <v/>
      </c>
    </row>
    <row r="27" spans="2:35" s="25" customFormat="1" ht="30" x14ac:dyDescent="0.25">
      <c r="B27" s="268">
        <v>17</v>
      </c>
      <c r="C27" s="390" t="s">
        <v>235</v>
      </c>
      <c r="D27" s="664"/>
      <c r="E27" s="665"/>
      <c r="F27" s="759"/>
      <c r="G27" s="760"/>
      <c r="H27" s="761"/>
      <c r="I27" s="309"/>
      <c r="J27" s="310"/>
      <c r="K27" s="311"/>
      <c r="L27" s="298" t="str">
        <f t="shared" si="0"/>
        <v/>
      </c>
      <c r="M27" s="305" t="str">
        <f t="shared" si="1"/>
        <v/>
      </c>
      <c r="N27" s="294" t="str">
        <f t="shared" si="2"/>
        <v/>
      </c>
      <c r="O27" s="69"/>
      <c r="P27" s="8"/>
      <c r="R27" s="646"/>
      <c r="T27" s="655" t="str">
        <f>IF(D27="","",VLOOKUP(D27,'9. All Habitats + Multipliers'!$C$4:$K$102,5,FALSE))</f>
        <v/>
      </c>
      <c r="U27" s="656"/>
      <c r="V27" s="348" t="str">
        <f>IF(T27="","",VLOOKUP(T27,'11. Lists'!$S$47:$U$50,2,FALSE))</f>
        <v/>
      </c>
      <c r="W27" s="93" t="str">
        <f>IF(D27="","",VLOOKUP(D27,'10. Condition and Temporal'!$B$6:$C$103,2,FALSE))</f>
        <v/>
      </c>
      <c r="X27" s="94" t="str">
        <f>IF(W27="","",VLOOKUP(W27,'11. Lists'!$F$47:$G$51,2,FALSE))</f>
        <v/>
      </c>
      <c r="Y27" s="48"/>
      <c r="Z27" s="48"/>
      <c r="AA27" s="48"/>
      <c r="AB27" s="188" t="str">
        <f t="shared" si="6"/>
        <v/>
      </c>
      <c r="AC27" s="95" t="str">
        <f>IF(AB27="","",VLOOKUP(AB27,'11. Lists'!$F$36:$H$38,2,FALSE))</f>
        <v/>
      </c>
      <c r="AD27" s="94" t="str">
        <f>IF(AB27="","",VLOOKUP(AB27,'11. Lists'!$F$36:$H$38,3,FALSE))</f>
        <v/>
      </c>
      <c r="AE27" s="302" t="str">
        <f t="shared" si="3"/>
        <v/>
      </c>
      <c r="AF27" s="303" t="str">
        <f t="shared" si="4"/>
        <v/>
      </c>
      <c r="AG27" s="96" t="str">
        <f t="shared" si="5"/>
        <v/>
      </c>
      <c r="AH27" s="93" t="str">
        <f>IF(T27="","",VLOOKUP(T27,'11. Lists'!$B$47:$D$49,3,FALSE))</f>
        <v/>
      </c>
      <c r="AI27" s="94" t="str">
        <f>IF(D27="","",VLOOKUP(D27,'10. Condition and Temporal'!$B$6:$L$103,4,FALSE))</f>
        <v/>
      </c>
    </row>
    <row r="28" spans="2:35" s="25" customFormat="1" ht="30" x14ac:dyDescent="0.25">
      <c r="B28" s="268">
        <v>18</v>
      </c>
      <c r="C28" s="390" t="s">
        <v>235</v>
      </c>
      <c r="D28" s="664"/>
      <c r="E28" s="665"/>
      <c r="F28" s="759"/>
      <c r="G28" s="760"/>
      <c r="H28" s="761"/>
      <c r="I28" s="309"/>
      <c r="J28" s="310"/>
      <c r="K28" s="311"/>
      <c r="L28" s="298" t="str">
        <f t="shared" si="0"/>
        <v/>
      </c>
      <c r="M28" s="305" t="str">
        <f t="shared" si="1"/>
        <v/>
      </c>
      <c r="N28" s="294" t="str">
        <f t="shared" si="2"/>
        <v/>
      </c>
      <c r="O28" s="69"/>
      <c r="P28" s="8"/>
      <c r="R28" s="646"/>
      <c r="T28" s="655" t="str">
        <f>IF(D28="","",VLOOKUP(D28,'9. All Habitats + Multipliers'!$C$4:$K$102,5,FALSE))</f>
        <v/>
      </c>
      <c r="U28" s="656"/>
      <c r="V28" s="348" t="str">
        <f>IF(T28="","",VLOOKUP(T28,'11. Lists'!$S$47:$U$50,2,FALSE))</f>
        <v/>
      </c>
      <c r="W28" s="93" t="str">
        <f>IF(D28="","",VLOOKUP(D28,'10. Condition and Temporal'!$B$6:$C$103,2,FALSE))</f>
        <v/>
      </c>
      <c r="X28" s="94" t="str">
        <f>IF(W28="","",VLOOKUP(W28,'11. Lists'!$F$47:$G$51,2,FALSE))</f>
        <v/>
      </c>
      <c r="Y28" s="48"/>
      <c r="Z28" s="48"/>
      <c r="AA28" s="48"/>
      <c r="AB28" s="188" t="str">
        <f t="shared" si="6"/>
        <v/>
      </c>
      <c r="AC28" s="95" t="str">
        <f>IF(AB28="","",VLOOKUP(AB28,'11. Lists'!$F$36:$H$38,2,FALSE))</f>
        <v/>
      </c>
      <c r="AD28" s="94" t="str">
        <f>IF(AB28="","",VLOOKUP(AB28,'11. Lists'!$F$36:$H$38,3,FALSE))</f>
        <v/>
      </c>
      <c r="AE28" s="302" t="str">
        <f t="shared" si="3"/>
        <v/>
      </c>
      <c r="AF28" s="303" t="str">
        <f t="shared" si="4"/>
        <v/>
      </c>
      <c r="AG28" s="96" t="str">
        <f t="shared" si="5"/>
        <v/>
      </c>
      <c r="AH28" s="93" t="str">
        <f>IF(T28="","",VLOOKUP(T28,'11. Lists'!$B$47:$D$49,3,FALSE))</f>
        <v/>
      </c>
      <c r="AI28" s="94" t="str">
        <f>IF(D28="","",VLOOKUP(D28,'10. Condition and Temporal'!$B$6:$L$103,4,FALSE))</f>
        <v/>
      </c>
    </row>
    <row r="29" spans="2:35" s="25" customFormat="1" ht="30" x14ac:dyDescent="0.25">
      <c r="B29" s="268">
        <v>19</v>
      </c>
      <c r="C29" s="392" t="s">
        <v>235</v>
      </c>
      <c r="D29" s="664"/>
      <c r="E29" s="665"/>
      <c r="F29" s="759"/>
      <c r="G29" s="760"/>
      <c r="H29" s="761"/>
      <c r="I29" s="309"/>
      <c r="J29" s="310"/>
      <c r="K29" s="311"/>
      <c r="L29" s="298" t="str">
        <f t="shared" si="0"/>
        <v/>
      </c>
      <c r="M29" s="305" t="str">
        <f t="shared" si="1"/>
        <v/>
      </c>
      <c r="N29" s="294" t="str">
        <f t="shared" si="2"/>
        <v/>
      </c>
      <c r="O29" s="69"/>
      <c r="P29" s="8"/>
      <c r="R29" s="646"/>
      <c r="T29" s="655" t="str">
        <f>IF(D29="","",VLOOKUP(D29,'9. All Habitats + Multipliers'!$C$4:$K$102,5,FALSE))</f>
        <v/>
      </c>
      <c r="U29" s="656"/>
      <c r="V29" s="348" t="str">
        <f>IF(T29="","",VLOOKUP(T29,'11. Lists'!$S$47:$U$50,2,FALSE))</f>
        <v/>
      </c>
      <c r="W29" s="93" t="str">
        <f>IF(D29="","",VLOOKUP(D29,'10. Condition and Temporal'!$B$6:$C$103,2,FALSE))</f>
        <v/>
      </c>
      <c r="X29" s="94" t="str">
        <f>IF(W29="","",VLOOKUP(W29,'11. Lists'!$F$47:$G$51,2,FALSE))</f>
        <v/>
      </c>
      <c r="Y29" s="48"/>
      <c r="Z29" s="48"/>
      <c r="AA29" s="48"/>
      <c r="AB29" s="188" t="str">
        <f t="shared" si="6"/>
        <v/>
      </c>
      <c r="AC29" s="95" t="str">
        <f>IF(AB29="","",VLOOKUP(AB29,'11. Lists'!$F$36:$H$38,2,FALSE))</f>
        <v/>
      </c>
      <c r="AD29" s="94" t="str">
        <f>IF(AB29="","",VLOOKUP(AB29,'11. Lists'!$F$36:$H$38,3,FALSE))</f>
        <v/>
      </c>
      <c r="AE29" s="302" t="str">
        <f t="shared" si="3"/>
        <v/>
      </c>
      <c r="AF29" s="303" t="str">
        <f t="shared" si="4"/>
        <v/>
      </c>
      <c r="AG29" s="96" t="str">
        <f t="shared" si="5"/>
        <v/>
      </c>
      <c r="AH29" s="93" t="str">
        <f>IF(T29="","",VLOOKUP(T29,'11. Lists'!$B$47:$D$49,3,FALSE))</f>
        <v/>
      </c>
      <c r="AI29" s="94" t="str">
        <f>IF(D29="","",VLOOKUP(D29,'10. Condition and Temporal'!$B$6:$L$103,4,FALSE))</f>
        <v/>
      </c>
    </row>
    <row r="30" spans="2:35" s="25" customFormat="1" ht="30.75" thickBot="1" x14ac:dyDescent="0.3">
      <c r="B30" s="269">
        <v>20</v>
      </c>
      <c r="C30" s="393" t="s">
        <v>235</v>
      </c>
      <c r="D30" s="668"/>
      <c r="E30" s="669"/>
      <c r="F30" s="894"/>
      <c r="G30" s="895"/>
      <c r="H30" s="896"/>
      <c r="I30" s="312"/>
      <c r="J30" s="313"/>
      <c r="K30" s="314"/>
      <c r="L30" s="296" t="str">
        <f t="shared" si="0"/>
        <v/>
      </c>
      <c r="M30" s="319" t="str">
        <f t="shared" si="1"/>
        <v/>
      </c>
      <c r="N30" s="297" t="str">
        <f t="shared" si="2"/>
        <v/>
      </c>
      <c r="O30" s="70"/>
      <c r="P30" s="4"/>
      <c r="R30" s="646"/>
      <c r="T30" s="655" t="str">
        <f>IF(D30="","",VLOOKUP(D30,'9. All Habitats + Multipliers'!$C$4:$K$102,5,FALSE))</f>
        <v/>
      </c>
      <c r="U30" s="656"/>
      <c r="V30" s="348" t="str">
        <f>IF(T30="","",VLOOKUP(T30,'11. Lists'!$S$47:$U$50,2,FALSE))</f>
        <v/>
      </c>
      <c r="W30" s="98" t="str">
        <f>IF(D30="","",VLOOKUP(D30,'10. Condition and Temporal'!$B$6:$C$103,2,FALSE))</f>
        <v/>
      </c>
      <c r="X30" s="99" t="str">
        <f>IF(W30="","",VLOOKUP(W30,'11. Lists'!$F$47:$G$51,2,FALSE))</f>
        <v/>
      </c>
      <c r="Y30" s="48"/>
      <c r="Z30" s="48"/>
      <c r="AA30" s="48"/>
      <c r="AB30" s="188" t="str">
        <f t="shared" si="6"/>
        <v/>
      </c>
      <c r="AC30" s="95" t="str">
        <f>IF(AB30="","",VLOOKUP(AB30,'11. Lists'!$F$36:$H$38,2,FALSE))</f>
        <v/>
      </c>
      <c r="AD30" s="94" t="str">
        <f>IF(AB30="","",VLOOKUP(AB30,'11. Lists'!$F$36:$H$38,3,FALSE))</f>
        <v/>
      </c>
      <c r="AE30" s="302" t="str">
        <f t="shared" si="3"/>
        <v/>
      </c>
      <c r="AF30" s="303" t="str">
        <f t="shared" si="4"/>
        <v/>
      </c>
      <c r="AG30" s="96" t="str">
        <f t="shared" si="5"/>
        <v/>
      </c>
      <c r="AH30" s="93" t="str">
        <f>IF(T30="","",VLOOKUP(T30,'11. Lists'!$B$47:$D$49,3,FALSE))</f>
        <v/>
      </c>
      <c r="AI30" s="94" t="str">
        <f>IF(D30="","",VLOOKUP(D30,'10. Condition and Temporal'!$B$6:$L$103,4,FALSE))</f>
        <v/>
      </c>
    </row>
    <row r="31" spans="2:35" s="25" customFormat="1" x14ac:dyDescent="0.25">
      <c r="D31" s="89"/>
      <c r="E31" s="103"/>
      <c r="F31" s="103"/>
      <c r="G31" s="103"/>
      <c r="H31" s="275" t="s">
        <v>236</v>
      </c>
      <c r="I31" s="315">
        <f t="shared" ref="I31:N31" si="7">SUM(I11:I30)</f>
        <v>0</v>
      </c>
      <c r="J31" s="316">
        <f t="shared" si="7"/>
        <v>0</v>
      </c>
      <c r="K31" s="317">
        <f t="shared" si="7"/>
        <v>0</v>
      </c>
      <c r="L31" s="283">
        <f t="shared" si="7"/>
        <v>0</v>
      </c>
      <c r="M31" s="323">
        <f t="shared" si="7"/>
        <v>0</v>
      </c>
      <c r="N31" s="284">
        <f t="shared" si="7"/>
        <v>0</v>
      </c>
      <c r="R31" s="646"/>
    </row>
    <row r="32" spans="2:35" s="25" customFormat="1" x14ac:dyDescent="0.25">
      <c r="D32" s="89"/>
      <c r="E32" s="103"/>
      <c r="F32" s="103"/>
      <c r="G32" s="103"/>
      <c r="H32" s="293" t="s">
        <v>106</v>
      </c>
      <c r="I32" s="887" t="str">
        <f>IF(I31&lt;J31+K31,"Error - Lengths Retained and Enhanced Exceed Total Length ▲","Lengths Acceptable ✓")</f>
        <v>Lengths Acceptable ✓</v>
      </c>
      <c r="J32" s="887"/>
      <c r="K32" s="887"/>
      <c r="L32" s="887"/>
      <c r="M32" s="887"/>
      <c r="N32" s="888"/>
      <c r="O32" s="161">
        <f>IFERROR(FIND("Error",I32),0)</f>
        <v>0</v>
      </c>
      <c r="R32" s="104"/>
    </row>
    <row r="33" spans="2:34" s="25" customFormat="1" ht="15.75" thickBot="1" x14ac:dyDescent="0.3">
      <c r="D33" s="89"/>
      <c r="E33" s="103"/>
      <c r="F33" s="103"/>
      <c r="G33" s="103"/>
      <c r="H33" s="276" t="s">
        <v>107</v>
      </c>
      <c r="I33" s="897" t="str">
        <f>IF(I31&lt;5000,"Lengths Acceptable ✓",IF(I31&gt;=5000,"Length Exceeds Length Appropriate for Small Sites Metric ▲"))</f>
        <v>Lengths Acceptable ✓</v>
      </c>
      <c r="J33" s="897"/>
      <c r="K33" s="897"/>
      <c r="L33" s="897"/>
      <c r="M33" s="897"/>
      <c r="N33" s="898"/>
      <c r="O33" s="161">
        <f>COUNTIF(L11:N30,"*"&amp;"error"&amp;"*")</f>
        <v>0</v>
      </c>
      <c r="R33" s="104"/>
    </row>
    <row r="34" spans="2:34" s="25" customFormat="1" x14ac:dyDescent="0.25">
      <c r="D34" s="89"/>
      <c r="E34" s="103"/>
      <c r="F34" s="103"/>
      <c r="G34" s="103"/>
      <c r="H34" s="103"/>
      <c r="I34" s="103"/>
      <c r="J34" s="103"/>
      <c r="K34" s="103"/>
      <c r="L34" s="103"/>
      <c r="M34" s="103"/>
      <c r="N34" s="103"/>
      <c r="O34" s="103"/>
      <c r="R34" s="646" t="s">
        <v>64</v>
      </c>
    </row>
    <row r="35" spans="2:34" s="25" customFormat="1" ht="21" x14ac:dyDescent="0.35">
      <c r="B35" s="57" t="s">
        <v>109</v>
      </c>
      <c r="D35" s="88"/>
      <c r="E35" s="103"/>
      <c r="F35" s="103"/>
      <c r="G35" s="103"/>
      <c r="I35" s="26"/>
      <c r="R35" s="646"/>
    </row>
    <row r="36" spans="2:34" s="25" customFormat="1" ht="15.75" customHeight="1" thickBot="1" x14ac:dyDescent="0.3">
      <c r="R36" s="646"/>
    </row>
    <row r="37" spans="2:34" s="25" customFormat="1" ht="16.149999999999999" customHeight="1" x14ac:dyDescent="0.25">
      <c r="B37" s="728" t="s">
        <v>58</v>
      </c>
      <c r="C37" s="718"/>
      <c r="D37" s="731"/>
      <c r="E37" s="717" t="s">
        <v>110</v>
      </c>
      <c r="F37" s="777"/>
      <c r="G37" s="719"/>
      <c r="H37" s="777" t="s">
        <v>111</v>
      </c>
      <c r="I37" s="749" t="s">
        <v>237</v>
      </c>
      <c r="J37" s="750"/>
      <c r="K37" s="751"/>
      <c r="L37" s="717" t="s">
        <v>238</v>
      </c>
      <c r="M37" s="718"/>
      <c r="N37" s="719"/>
      <c r="O37" s="762" t="s">
        <v>77</v>
      </c>
      <c r="P37" s="719"/>
      <c r="R37" s="646"/>
      <c r="T37" s="674" t="s">
        <v>78</v>
      </c>
      <c r="U37" s="675"/>
      <c r="V37" s="907"/>
      <c r="W37" s="674" t="s">
        <v>79</v>
      </c>
      <c r="X37" s="676"/>
      <c r="Y37" s="756"/>
      <c r="Z37" s="756"/>
      <c r="AA37" s="756"/>
      <c r="AB37" s="755" t="s">
        <v>80</v>
      </c>
      <c r="AC37" s="675"/>
      <c r="AD37" s="676"/>
      <c r="AE37" s="674" t="s">
        <v>114</v>
      </c>
      <c r="AF37" s="676"/>
      <c r="AG37" s="674" t="s">
        <v>115</v>
      </c>
      <c r="AH37" s="676"/>
    </row>
    <row r="38" spans="2:34" s="25" customFormat="1" ht="32.25" thickBot="1" x14ac:dyDescent="0.3">
      <c r="B38" s="729"/>
      <c r="C38" s="201" t="s">
        <v>84</v>
      </c>
      <c r="D38" s="202" t="s">
        <v>116</v>
      </c>
      <c r="E38" s="86" t="s">
        <v>117</v>
      </c>
      <c r="F38" s="715" t="s">
        <v>118</v>
      </c>
      <c r="G38" s="716"/>
      <c r="H38" s="778"/>
      <c r="I38" s="752"/>
      <c r="J38" s="753"/>
      <c r="K38" s="754"/>
      <c r="L38" s="884"/>
      <c r="M38" s="885"/>
      <c r="N38" s="886"/>
      <c r="O38" s="200" t="s">
        <v>92</v>
      </c>
      <c r="P38" s="90" t="s">
        <v>93</v>
      </c>
      <c r="R38" s="646"/>
      <c r="T38" s="672" t="s">
        <v>94</v>
      </c>
      <c r="U38" s="673"/>
      <c r="V38" s="345" t="s">
        <v>95</v>
      </c>
      <c r="W38" s="91" t="s">
        <v>96</v>
      </c>
      <c r="X38" s="92" t="s">
        <v>95</v>
      </c>
      <c r="Y38" s="350"/>
      <c r="Z38" s="350"/>
      <c r="AA38" s="350"/>
      <c r="AB38" s="338" t="s">
        <v>80</v>
      </c>
      <c r="AC38" s="49" t="s">
        <v>80</v>
      </c>
      <c r="AD38" s="92" t="s">
        <v>97</v>
      </c>
      <c r="AE38" s="91" t="s">
        <v>119</v>
      </c>
      <c r="AF38" s="92" t="s">
        <v>120</v>
      </c>
      <c r="AG38" s="91" t="s">
        <v>121</v>
      </c>
      <c r="AH38" s="92" t="s">
        <v>122</v>
      </c>
    </row>
    <row r="39" spans="2:34" s="25" customFormat="1" ht="30" x14ac:dyDescent="0.25">
      <c r="B39" s="267">
        <v>1</v>
      </c>
      <c r="C39" s="390" t="s">
        <v>235</v>
      </c>
      <c r="D39" s="73"/>
      <c r="E39" s="105" t="str">
        <f>IF(D39="","",VLOOKUP(D39,'10. Condition and Temporal'!$B$6:$D$103,3,FALSE))</f>
        <v/>
      </c>
      <c r="F39" s="889"/>
      <c r="G39" s="890"/>
      <c r="H39" s="72"/>
      <c r="I39" s="710"/>
      <c r="J39" s="711"/>
      <c r="K39" s="711"/>
      <c r="L39" s="891" t="str">
        <f>IF(D39="","",IFERROR(IF(I39="","",((I39/1000)*(V39*X39))*(AH39*AF39)*AD39),"This intervention is not permitted within the SSM ▲"))</f>
        <v/>
      </c>
      <c r="M39" s="892"/>
      <c r="N39" s="893"/>
      <c r="O39" s="214"/>
      <c r="P39" s="1"/>
      <c r="Q39" s="106"/>
      <c r="R39" s="646"/>
      <c r="T39" s="655" t="str">
        <f>IF(D39="","",VLOOKUP(D39,'9. All Habitats + Multipliers'!$C$4:$K$102,5,FALSE))</f>
        <v/>
      </c>
      <c r="U39" s="656"/>
      <c r="V39" s="348" t="str">
        <f>IF(T39="","",VLOOKUP(T39,'11. Lists'!$S$47:$U$50,2,FALSE))</f>
        <v/>
      </c>
      <c r="W39" s="93" t="str">
        <f>IF(F39="","",F39)</f>
        <v/>
      </c>
      <c r="X39" s="94" t="str">
        <f>IF(W39="","",VLOOKUP(W39,'11. Lists'!$F$47:$G$51,2,FALSE))</f>
        <v/>
      </c>
      <c r="Y39" s="48"/>
      <c r="Z39" s="48"/>
      <c r="AA39" s="48"/>
      <c r="AB39" s="188"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30" x14ac:dyDescent="0.25">
      <c r="B40" s="268">
        <v>2</v>
      </c>
      <c r="C40" s="390" t="s">
        <v>235</v>
      </c>
      <c r="D40" s="73"/>
      <c r="E40" s="105" t="str">
        <f>IF(D40="","",VLOOKUP(D40,'10. Condition and Temporal'!$B$6:$D$103,3,FALSE))</f>
        <v/>
      </c>
      <c r="F40" s="851"/>
      <c r="G40" s="852"/>
      <c r="H40" s="71"/>
      <c r="I40" s="710"/>
      <c r="J40" s="711"/>
      <c r="K40" s="711"/>
      <c r="L40" s="853" t="str">
        <f t="shared" ref="L40:L58" si="8">IF(D40="","",IFERROR(IF(I40="","",((I40/1000)*(V40*X40))*(AH40*AF40)*AD40),"This intervention is not permitted within the SSM ▲"))</f>
        <v/>
      </c>
      <c r="M40" s="854"/>
      <c r="N40" s="855"/>
      <c r="O40" s="74"/>
      <c r="P40" s="12"/>
      <c r="Q40" s="106"/>
      <c r="R40" s="646"/>
      <c r="T40" s="655" t="str">
        <f>IF(D40="","",VLOOKUP(D40,'9. All Habitats + Multipliers'!$C$4:$K$102,5,FALSE))</f>
        <v/>
      </c>
      <c r="U40" s="656"/>
      <c r="V40" s="348" t="str">
        <f>IF(T40="","",VLOOKUP(T40,'11. Lists'!$S$47:$U$50,2,FALSE))</f>
        <v/>
      </c>
      <c r="W40" s="93" t="str">
        <f>IF(F40="","",F40)</f>
        <v/>
      </c>
      <c r="X40" s="94" t="str">
        <f>IF(W40="","",VLOOKUP(W40,'11. Lists'!$F$47:$G$51,2,FALSE))</f>
        <v/>
      </c>
      <c r="Y40" s="48"/>
      <c r="Z40" s="48"/>
      <c r="AA40" s="48"/>
      <c r="AB40" s="188"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30" x14ac:dyDescent="0.25">
      <c r="B41" s="268">
        <v>3</v>
      </c>
      <c r="C41" s="390" t="s">
        <v>235</v>
      </c>
      <c r="D41" s="73"/>
      <c r="E41" s="105" t="str">
        <f>IF(D41="","",VLOOKUP(D41,'10. Condition and Temporal'!$B$6:$D$103,3,FALSE))</f>
        <v/>
      </c>
      <c r="F41" s="851"/>
      <c r="G41" s="852"/>
      <c r="H41" s="71"/>
      <c r="I41" s="710"/>
      <c r="J41" s="711"/>
      <c r="K41" s="711"/>
      <c r="L41" s="853" t="str">
        <f t="shared" si="8"/>
        <v/>
      </c>
      <c r="M41" s="854"/>
      <c r="N41" s="855"/>
      <c r="O41" s="74"/>
      <c r="P41" s="12"/>
      <c r="Q41" s="106"/>
      <c r="R41" s="646"/>
      <c r="T41" s="655" t="str">
        <f>IF(D41="","",VLOOKUP(D41,'9. All Habitats + Multipliers'!$C$4:$K$102,5,FALSE))</f>
        <v/>
      </c>
      <c r="U41" s="656"/>
      <c r="V41" s="348" t="str">
        <f>IF(T41="","",VLOOKUP(T41,'11. Lists'!$S$47:$U$50,2,FALSE))</f>
        <v/>
      </c>
      <c r="W41" s="93" t="str">
        <f>IF(F41="","",F41)</f>
        <v/>
      </c>
      <c r="X41" s="94" t="str">
        <f>IF(W41="","",VLOOKUP(W41,'11. Lists'!$F$47:$G$51,2,FALSE))</f>
        <v/>
      </c>
      <c r="Y41" s="48"/>
      <c r="Z41" s="48"/>
      <c r="AA41" s="48"/>
      <c r="AB41" s="188"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x14ac:dyDescent="0.25">
      <c r="B42" s="268">
        <v>4</v>
      </c>
      <c r="C42" s="390" t="s">
        <v>235</v>
      </c>
      <c r="D42" s="73"/>
      <c r="E42" s="105" t="str">
        <f>IF(D42="","",VLOOKUP(D42,'10. Condition and Temporal'!$B$6:$D$103,3,FALSE))</f>
        <v/>
      </c>
      <c r="F42" s="851"/>
      <c r="G42" s="852"/>
      <c r="H42" s="71"/>
      <c r="I42" s="710"/>
      <c r="J42" s="711"/>
      <c r="K42" s="711"/>
      <c r="L42" s="853" t="str">
        <f t="shared" si="8"/>
        <v/>
      </c>
      <c r="M42" s="854"/>
      <c r="N42" s="855"/>
      <c r="O42" s="74"/>
      <c r="P42" s="12"/>
      <c r="Q42" s="106"/>
      <c r="R42" s="646"/>
      <c r="T42" s="655" t="str">
        <f>IF(D42="","",VLOOKUP(D42,'9. All Habitats + Multipliers'!$C$4:$K$102,5,FALSE))</f>
        <v/>
      </c>
      <c r="U42" s="656"/>
      <c r="V42" s="348" t="str">
        <f>IF(T42="","",VLOOKUP(T42,'11. Lists'!$S$47:$U$50,2,FALSE))</f>
        <v/>
      </c>
      <c r="W42" s="93" t="str">
        <f>IF(F42="","",F42)</f>
        <v/>
      </c>
      <c r="X42" s="94" t="str">
        <f>IF(W42="","",VLOOKUP(W42,'11. Lists'!$F$47:$G$51,2,FALSE))</f>
        <v/>
      </c>
      <c r="Y42" s="48"/>
      <c r="Z42" s="48"/>
      <c r="AA42" s="48"/>
      <c r="AB42" s="188"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x14ac:dyDescent="0.25">
      <c r="B43" s="268">
        <v>5</v>
      </c>
      <c r="C43" s="390" t="s">
        <v>235</v>
      </c>
      <c r="D43" s="73"/>
      <c r="E43" s="105" t="str">
        <f>IF(D43="","",VLOOKUP(D43,'10. Condition and Temporal'!$B$6:$D$103,3,FALSE))</f>
        <v/>
      </c>
      <c r="F43" s="851"/>
      <c r="G43" s="852"/>
      <c r="H43" s="71"/>
      <c r="I43" s="710"/>
      <c r="J43" s="711"/>
      <c r="K43" s="711"/>
      <c r="L43" s="853" t="str">
        <f t="shared" si="8"/>
        <v/>
      </c>
      <c r="M43" s="854"/>
      <c r="N43" s="855"/>
      <c r="O43" s="74"/>
      <c r="P43" s="12"/>
      <c r="R43" s="646"/>
      <c r="T43" s="655" t="str">
        <f>IF(D43="","",VLOOKUP(D43,'9. All Habitats + Multipliers'!$C$4:$K$102,5,FALSE))</f>
        <v/>
      </c>
      <c r="U43" s="656"/>
      <c r="V43" s="348" t="str">
        <f>IF(T43="","",VLOOKUP(T43,'11. Lists'!$S$47:$U$50,2,FALSE))</f>
        <v/>
      </c>
      <c r="W43" s="93" t="str">
        <f t="shared" ref="W43:W58" si="10">IF(F43="","",F43)</f>
        <v/>
      </c>
      <c r="X43" s="94" t="str">
        <f>IF(W43="","",VLOOKUP(W43,'11. Lists'!$F$47:$G$51,2,FALSE))</f>
        <v/>
      </c>
      <c r="Y43" s="48"/>
      <c r="Z43" s="48"/>
      <c r="AA43" s="48"/>
      <c r="AB43" s="188"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x14ac:dyDescent="0.25">
      <c r="B44" s="268">
        <v>6</v>
      </c>
      <c r="C44" s="390" t="s">
        <v>235</v>
      </c>
      <c r="D44" s="73"/>
      <c r="E44" s="105" t="str">
        <f>IF(D44="","",VLOOKUP(D44,'10. Condition and Temporal'!$B$6:$D$103,3,FALSE))</f>
        <v/>
      </c>
      <c r="F44" s="851"/>
      <c r="G44" s="852"/>
      <c r="H44" s="71"/>
      <c r="I44" s="710"/>
      <c r="J44" s="711"/>
      <c r="K44" s="711"/>
      <c r="L44" s="853" t="str">
        <f t="shared" si="8"/>
        <v/>
      </c>
      <c r="M44" s="854"/>
      <c r="N44" s="855"/>
      <c r="O44" s="74"/>
      <c r="P44" s="12"/>
      <c r="R44" s="646"/>
      <c r="T44" s="655" t="str">
        <f>IF(D44="","",VLOOKUP(D44,'9. All Habitats + Multipliers'!$C$4:$K$102,5,FALSE))</f>
        <v/>
      </c>
      <c r="U44" s="656"/>
      <c r="V44" s="348" t="str">
        <f>IF(T44="","",VLOOKUP(T44,'11. Lists'!$S$47:$U$50,2,FALSE))</f>
        <v/>
      </c>
      <c r="W44" s="93" t="str">
        <f t="shared" si="10"/>
        <v/>
      </c>
      <c r="X44" s="94" t="str">
        <f>IF(W44="","",VLOOKUP(W44,'11. Lists'!$F$47:$G$51,2,FALSE))</f>
        <v/>
      </c>
      <c r="Y44" s="48"/>
      <c r="Z44" s="48"/>
      <c r="AA44" s="48"/>
      <c r="AB44" s="188"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x14ac:dyDescent="0.25">
      <c r="B45" s="268">
        <v>7</v>
      </c>
      <c r="C45" s="390" t="s">
        <v>235</v>
      </c>
      <c r="D45" s="73"/>
      <c r="E45" s="105" t="str">
        <f>IF(D45="","",VLOOKUP(D45,'10. Condition and Temporal'!$B$6:$D$103,3,FALSE))</f>
        <v/>
      </c>
      <c r="F45" s="851"/>
      <c r="G45" s="852"/>
      <c r="H45" s="71"/>
      <c r="I45" s="710"/>
      <c r="J45" s="711"/>
      <c r="K45" s="711"/>
      <c r="L45" s="853" t="str">
        <f t="shared" si="8"/>
        <v/>
      </c>
      <c r="M45" s="854"/>
      <c r="N45" s="855"/>
      <c r="O45" s="74"/>
      <c r="P45" s="12"/>
      <c r="R45" s="646"/>
      <c r="T45" s="655" t="str">
        <f>IF(D45="","",VLOOKUP(D45,'9. All Habitats + Multipliers'!$C$4:$K$102,5,FALSE))</f>
        <v/>
      </c>
      <c r="U45" s="656"/>
      <c r="V45" s="348" t="str">
        <f>IF(T45="","",VLOOKUP(T45,'11. Lists'!$S$47:$U$50,2,FALSE))</f>
        <v/>
      </c>
      <c r="W45" s="93" t="str">
        <f t="shared" si="10"/>
        <v/>
      </c>
      <c r="X45" s="94" t="str">
        <f>IF(W45="","",VLOOKUP(W45,'11. Lists'!$F$47:$G$51,2,FALSE))</f>
        <v/>
      </c>
      <c r="Y45" s="48"/>
      <c r="Z45" s="48"/>
      <c r="AA45" s="48"/>
      <c r="AB45" s="188"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x14ac:dyDescent="0.25">
      <c r="B46" s="268">
        <v>8</v>
      </c>
      <c r="C46" s="390" t="s">
        <v>235</v>
      </c>
      <c r="D46" s="73"/>
      <c r="E46" s="105" t="str">
        <f>IF(D46="","",VLOOKUP(D46,'10. Condition and Temporal'!$B$6:$D$103,3,FALSE))</f>
        <v/>
      </c>
      <c r="F46" s="851"/>
      <c r="G46" s="852"/>
      <c r="H46" s="71"/>
      <c r="I46" s="710"/>
      <c r="J46" s="711"/>
      <c r="K46" s="711"/>
      <c r="L46" s="853" t="str">
        <f t="shared" si="8"/>
        <v/>
      </c>
      <c r="M46" s="854"/>
      <c r="N46" s="855"/>
      <c r="O46" s="74"/>
      <c r="P46" s="12"/>
      <c r="R46" s="646"/>
      <c r="T46" s="655" t="str">
        <f>IF(D46="","",VLOOKUP(D46,'9. All Habitats + Multipliers'!$C$4:$K$102,5,FALSE))</f>
        <v/>
      </c>
      <c r="U46" s="656"/>
      <c r="V46" s="348" t="str">
        <f>IF(T46="","",VLOOKUP(T46,'11. Lists'!$S$47:$U$50,2,FALSE))</f>
        <v/>
      </c>
      <c r="W46" s="93" t="str">
        <f t="shared" si="10"/>
        <v/>
      </c>
      <c r="X46" s="94" t="str">
        <f>IF(W46="","",VLOOKUP(W46,'11. Lists'!$F$47:$G$51,2,FALSE))</f>
        <v/>
      </c>
      <c r="Y46" s="48"/>
      <c r="Z46" s="48"/>
      <c r="AA46" s="48"/>
      <c r="AB46" s="188"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x14ac:dyDescent="0.25">
      <c r="B47" s="268">
        <v>9</v>
      </c>
      <c r="C47" s="390" t="s">
        <v>235</v>
      </c>
      <c r="D47" s="73"/>
      <c r="E47" s="105" t="str">
        <f>IF(D47="","",VLOOKUP(D47,'10. Condition and Temporal'!$B$6:$D$103,3,FALSE))</f>
        <v/>
      </c>
      <c r="F47" s="851"/>
      <c r="G47" s="852"/>
      <c r="H47" s="71"/>
      <c r="I47" s="710"/>
      <c r="J47" s="711"/>
      <c r="K47" s="711"/>
      <c r="L47" s="853" t="str">
        <f t="shared" si="8"/>
        <v/>
      </c>
      <c r="M47" s="854"/>
      <c r="N47" s="855"/>
      <c r="O47" s="74"/>
      <c r="P47" s="12"/>
      <c r="R47" s="646"/>
      <c r="T47" s="655" t="str">
        <f>IF(D47="","",VLOOKUP(D47,'9. All Habitats + Multipliers'!$C$4:$K$102,5,FALSE))</f>
        <v/>
      </c>
      <c r="U47" s="656"/>
      <c r="V47" s="348" t="str">
        <f>IF(T47="","",VLOOKUP(T47,'11. Lists'!$S$47:$U$50,2,FALSE))</f>
        <v/>
      </c>
      <c r="W47" s="93" t="str">
        <f t="shared" si="10"/>
        <v/>
      </c>
      <c r="X47" s="94" t="str">
        <f>IF(W47="","",VLOOKUP(W47,'11. Lists'!$F$47:$G$51,2,FALSE))</f>
        <v/>
      </c>
      <c r="Y47" s="48"/>
      <c r="Z47" s="48"/>
      <c r="AA47" s="48"/>
      <c r="AB47" s="188"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x14ac:dyDescent="0.25">
      <c r="B48" s="268">
        <v>10</v>
      </c>
      <c r="C48" s="391" t="s">
        <v>235</v>
      </c>
      <c r="D48" s="73"/>
      <c r="E48" s="105" t="str">
        <f>IF(D48="","",VLOOKUP(D48,'10. Condition and Temporal'!$B$6:$D$103,3,FALSE))</f>
        <v/>
      </c>
      <c r="F48" s="851"/>
      <c r="G48" s="852"/>
      <c r="H48" s="71"/>
      <c r="I48" s="710"/>
      <c r="J48" s="711"/>
      <c r="K48" s="711"/>
      <c r="L48" s="853" t="str">
        <f t="shared" si="8"/>
        <v/>
      </c>
      <c r="M48" s="854"/>
      <c r="N48" s="855"/>
      <c r="O48" s="74"/>
      <c r="P48" s="12"/>
      <c r="R48" s="646"/>
      <c r="T48" s="655" t="str">
        <f>IF(D48="","",VLOOKUP(D48,'9. All Habitats + Multipliers'!$C$4:$K$102,5,FALSE))</f>
        <v/>
      </c>
      <c r="U48" s="656"/>
      <c r="V48" s="348" t="str">
        <f>IF(T48="","",VLOOKUP(T48,'11. Lists'!$S$47:$U$50,2,FALSE))</f>
        <v/>
      </c>
      <c r="W48" s="93" t="str">
        <f t="shared" si="10"/>
        <v/>
      </c>
      <c r="X48" s="94" t="str">
        <f>IF(W48="","",VLOOKUP(W48,'11. Lists'!$F$47:$G$51,2,FALSE))</f>
        <v/>
      </c>
      <c r="Y48" s="48"/>
      <c r="Z48" s="48"/>
      <c r="AA48" s="48"/>
      <c r="AB48" s="188"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x14ac:dyDescent="0.25">
      <c r="B49" s="268">
        <v>11</v>
      </c>
      <c r="C49" s="390" t="s">
        <v>235</v>
      </c>
      <c r="D49" s="73"/>
      <c r="E49" s="105" t="str">
        <f>IF(D49="","",VLOOKUP(D49,'10. Condition and Temporal'!$B$6:$D$103,3,FALSE))</f>
        <v/>
      </c>
      <c r="F49" s="851"/>
      <c r="G49" s="852"/>
      <c r="H49" s="71"/>
      <c r="I49" s="710"/>
      <c r="J49" s="711"/>
      <c r="K49" s="711"/>
      <c r="L49" s="853" t="str">
        <f t="shared" si="8"/>
        <v/>
      </c>
      <c r="M49" s="854"/>
      <c r="N49" s="855"/>
      <c r="O49" s="74"/>
      <c r="P49" s="12"/>
      <c r="R49" s="646"/>
      <c r="T49" s="655" t="str">
        <f>IF(D49="","",VLOOKUP(D49,'9. All Habitats + Multipliers'!$C$4:$K$102,5,FALSE))</f>
        <v/>
      </c>
      <c r="U49" s="656"/>
      <c r="V49" s="348" t="str">
        <f>IF(T49="","",VLOOKUP(T49,'11. Lists'!$S$47:$U$50,2,FALSE))</f>
        <v/>
      </c>
      <c r="W49" s="93" t="str">
        <f t="shared" si="10"/>
        <v/>
      </c>
      <c r="X49" s="94" t="str">
        <f>IF(W49="","",VLOOKUP(W49,'11. Lists'!$F$47:$G$51,2,FALSE))</f>
        <v/>
      </c>
      <c r="Y49" s="48"/>
      <c r="Z49" s="48"/>
      <c r="AA49" s="48"/>
      <c r="AB49" s="188"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x14ac:dyDescent="0.25">
      <c r="B50" s="268">
        <v>12</v>
      </c>
      <c r="C50" s="390" t="s">
        <v>235</v>
      </c>
      <c r="D50" s="73"/>
      <c r="E50" s="105" t="str">
        <f>IF(D50="","",VLOOKUP(D50,'10. Condition and Temporal'!$B$6:$D$103,3,FALSE))</f>
        <v/>
      </c>
      <c r="F50" s="851"/>
      <c r="G50" s="852"/>
      <c r="H50" s="71"/>
      <c r="I50" s="710"/>
      <c r="J50" s="711"/>
      <c r="K50" s="711"/>
      <c r="L50" s="853" t="str">
        <f t="shared" si="8"/>
        <v/>
      </c>
      <c r="M50" s="854"/>
      <c r="N50" s="855"/>
      <c r="O50" s="74"/>
      <c r="P50" s="12"/>
      <c r="R50" s="646"/>
      <c r="T50" s="655" t="str">
        <f>IF(D50="","",VLOOKUP(D50,'9. All Habitats + Multipliers'!$C$4:$K$102,5,FALSE))</f>
        <v/>
      </c>
      <c r="U50" s="656"/>
      <c r="V50" s="348" t="str">
        <f>IF(T50="","",VLOOKUP(T50,'11. Lists'!$S$47:$U$50,2,FALSE))</f>
        <v/>
      </c>
      <c r="W50" s="93" t="str">
        <f t="shared" si="10"/>
        <v/>
      </c>
      <c r="X50" s="94" t="str">
        <f>IF(W50="","",VLOOKUP(W50,'11. Lists'!$F$47:$G$51,2,FALSE))</f>
        <v/>
      </c>
      <c r="Y50" s="48"/>
      <c r="Z50" s="48"/>
      <c r="AA50" s="48"/>
      <c r="AB50" s="188"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x14ac:dyDescent="0.25">
      <c r="B51" s="268">
        <v>13</v>
      </c>
      <c r="C51" s="390" t="s">
        <v>235</v>
      </c>
      <c r="D51" s="73"/>
      <c r="E51" s="105" t="str">
        <f>IF(D51="","",VLOOKUP(D51,'10. Condition and Temporal'!$B$6:$D$103,3,FALSE))</f>
        <v/>
      </c>
      <c r="F51" s="851"/>
      <c r="G51" s="852"/>
      <c r="H51" s="71"/>
      <c r="I51" s="710"/>
      <c r="J51" s="711"/>
      <c r="K51" s="711"/>
      <c r="L51" s="853" t="str">
        <f t="shared" si="8"/>
        <v/>
      </c>
      <c r="M51" s="854"/>
      <c r="N51" s="855"/>
      <c r="O51" s="74"/>
      <c r="P51" s="12"/>
      <c r="R51" s="646"/>
      <c r="T51" s="655" t="str">
        <f>IF(D51="","",VLOOKUP(D51,'9. All Habitats + Multipliers'!$C$4:$K$102,5,FALSE))</f>
        <v/>
      </c>
      <c r="U51" s="656"/>
      <c r="V51" s="348" t="str">
        <f>IF(T51="","",VLOOKUP(T51,'11. Lists'!$S$47:$U$50,2,FALSE))</f>
        <v/>
      </c>
      <c r="W51" s="93" t="str">
        <f t="shared" si="10"/>
        <v/>
      </c>
      <c r="X51" s="94" t="str">
        <f>IF(W51="","",VLOOKUP(W51,'11. Lists'!$F$47:$G$51,2,FALSE))</f>
        <v/>
      </c>
      <c r="Y51" s="48"/>
      <c r="Z51" s="48"/>
      <c r="AA51" s="48"/>
      <c r="AB51" s="188"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x14ac:dyDescent="0.25">
      <c r="B52" s="268">
        <v>14</v>
      </c>
      <c r="C52" s="390" t="s">
        <v>235</v>
      </c>
      <c r="D52" s="73"/>
      <c r="E52" s="105" t="str">
        <f>IF(D52="","",VLOOKUP(D52,'10. Condition and Temporal'!$B$6:$D$103,3,FALSE))</f>
        <v/>
      </c>
      <c r="F52" s="851"/>
      <c r="G52" s="852"/>
      <c r="H52" s="71"/>
      <c r="I52" s="710"/>
      <c r="J52" s="711"/>
      <c r="K52" s="711"/>
      <c r="L52" s="853" t="str">
        <f t="shared" si="8"/>
        <v/>
      </c>
      <c r="M52" s="854"/>
      <c r="N52" s="855"/>
      <c r="O52" s="74"/>
      <c r="P52" s="12"/>
      <c r="R52" s="646"/>
      <c r="T52" s="655" t="str">
        <f>IF(D52="","",VLOOKUP(D52,'9. All Habitats + Multipliers'!$C$4:$K$102,5,FALSE))</f>
        <v/>
      </c>
      <c r="U52" s="656"/>
      <c r="V52" s="348" t="str">
        <f>IF(T52="","",VLOOKUP(T52,'11. Lists'!$S$47:$U$50,2,FALSE))</f>
        <v/>
      </c>
      <c r="W52" s="93" t="str">
        <f t="shared" si="10"/>
        <v/>
      </c>
      <c r="X52" s="94" t="str">
        <f>IF(W52="","",VLOOKUP(W52,'11. Lists'!$F$47:$G$51,2,FALSE))</f>
        <v/>
      </c>
      <c r="Y52" s="48"/>
      <c r="Z52" s="48"/>
      <c r="AA52" s="48"/>
      <c r="AB52" s="188"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x14ac:dyDescent="0.25">
      <c r="B53" s="268">
        <v>15</v>
      </c>
      <c r="C53" s="390" t="s">
        <v>235</v>
      </c>
      <c r="D53" s="73"/>
      <c r="E53" s="105" t="str">
        <f>IF(D53="","",VLOOKUP(D53,'10. Condition and Temporal'!$B$6:$D$103,3,FALSE))</f>
        <v/>
      </c>
      <c r="F53" s="851"/>
      <c r="G53" s="852"/>
      <c r="H53" s="71"/>
      <c r="I53" s="710"/>
      <c r="J53" s="711"/>
      <c r="K53" s="711"/>
      <c r="L53" s="853" t="str">
        <f t="shared" si="8"/>
        <v/>
      </c>
      <c r="M53" s="854"/>
      <c r="N53" s="855"/>
      <c r="O53" s="74"/>
      <c r="P53" s="12"/>
      <c r="R53" s="646"/>
      <c r="T53" s="655" t="str">
        <f>IF(D53="","",VLOOKUP(D53,'9. All Habitats + Multipliers'!$C$4:$K$102,5,FALSE))</f>
        <v/>
      </c>
      <c r="U53" s="656"/>
      <c r="V53" s="348" t="str">
        <f>IF(T53="","",VLOOKUP(T53,'11. Lists'!$S$47:$U$50,2,FALSE))</f>
        <v/>
      </c>
      <c r="W53" s="93" t="str">
        <f t="shared" si="10"/>
        <v/>
      </c>
      <c r="X53" s="94" t="str">
        <f>IF(W53="","",VLOOKUP(W53,'11. Lists'!$F$47:$G$51,2,FALSE))</f>
        <v/>
      </c>
      <c r="Y53" s="48"/>
      <c r="Z53" s="48"/>
      <c r="AA53" s="48"/>
      <c r="AB53" s="188"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x14ac:dyDescent="0.25">
      <c r="B54" s="268">
        <v>16</v>
      </c>
      <c r="C54" s="390" t="s">
        <v>235</v>
      </c>
      <c r="D54" s="73"/>
      <c r="E54" s="105" t="str">
        <f>IF(D54="","",VLOOKUP(D54,'10. Condition and Temporal'!$B$6:$D$103,3,FALSE))</f>
        <v/>
      </c>
      <c r="F54" s="851"/>
      <c r="G54" s="852"/>
      <c r="H54" s="71"/>
      <c r="I54" s="710"/>
      <c r="J54" s="711"/>
      <c r="K54" s="711"/>
      <c r="L54" s="853" t="str">
        <f t="shared" si="8"/>
        <v/>
      </c>
      <c r="M54" s="854"/>
      <c r="N54" s="855"/>
      <c r="O54" s="74"/>
      <c r="P54" s="12"/>
      <c r="R54" s="646"/>
      <c r="T54" s="655" t="str">
        <f>IF(D54="","",VLOOKUP(D54,'9. All Habitats + Multipliers'!$C$4:$K$102,5,FALSE))</f>
        <v/>
      </c>
      <c r="U54" s="656"/>
      <c r="V54" s="348" t="str">
        <f>IF(T54="","",VLOOKUP(T54,'11. Lists'!$S$47:$U$50,2,FALSE))</f>
        <v/>
      </c>
      <c r="W54" s="93" t="str">
        <f t="shared" si="10"/>
        <v/>
      </c>
      <c r="X54" s="94" t="str">
        <f>IF(W54="","",VLOOKUP(W54,'11. Lists'!$F$47:$G$51,2,FALSE))</f>
        <v/>
      </c>
      <c r="Y54" s="48"/>
      <c r="Z54" s="48"/>
      <c r="AA54" s="48"/>
      <c r="AB54" s="188"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x14ac:dyDescent="0.25">
      <c r="B55" s="268">
        <v>17</v>
      </c>
      <c r="C55" s="390" t="s">
        <v>235</v>
      </c>
      <c r="D55" s="73"/>
      <c r="E55" s="105" t="str">
        <f>IF(D55="","",VLOOKUP(D55,'10. Condition and Temporal'!$B$6:$D$103,3,FALSE))</f>
        <v/>
      </c>
      <c r="F55" s="851"/>
      <c r="G55" s="852"/>
      <c r="H55" s="71"/>
      <c r="I55" s="710"/>
      <c r="J55" s="711"/>
      <c r="K55" s="711"/>
      <c r="L55" s="853" t="str">
        <f t="shared" si="8"/>
        <v/>
      </c>
      <c r="M55" s="854"/>
      <c r="N55" s="855"/>
      <c r="O55" s="74"/>
      <c r="P55" s="12"/>
      <c r="R55" s="646"/>
      <c r="T55" s="655" t="str">
        <f>IF(D55="","",VLOOKUP(D55,'9. All Habitats + Multipliers'!$C$4:$K$102,5,FALSE))</f>
        <v/>
      </c>
      <c r="U55" s="656"/>
      <c r="V55" s="348" t="str">
        <f>IF(T55="","",VLOOKUP(T55,'11. Lists'!$S$47:$U$50,2,FALSE))</f>
        <v/>
      </c>
      <c r="W55" s="93" t="str">
        <f t="shared" si="10"/>
        <v/>
      </c>
      <c r="X55" s="94" t="str">
        <f>IF(W55="","",VLOOKUP(W55,'11. Lists'!$F$47:$G$51,2,FALSE))</f>
        <v/>
      </c>
      <c r="Y55" s="48"/>
      <c r="Z55" s="48"/>
      <c r="AA55" s="48"/>
      <c r="AB55" s="188"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x14ac:dyDescent="0.25">
      <c r="B56" s="268">
        <v>18</v>
      </c>
      <c r="C56" s="390" t="s">
        <v>235</v>
      </c>
      <c r="D56" s="73"/>
      <c r="E56" s="105" t="str">
        <f>IF(D56="","",VLOOKUP(D56,'10. Condition and Temporal'!$B$6:$D$103,3,FALSE))</f>
        <v/>
      </c>
      <c r="F56" s="851"/>
      <c r="G56" s="852"/>
      <c r="H56" s="71"/>
      <c r="I56" s="710"/>
      <c r="J56" s="711"/>
      <c r="K56" s="711"/>
      <c r="L56" s="853" t="str">
        <f t="shared" si="8"/>
        <v/>
      </c>
      <c r="M56" s="854"/>
      <c r="N56" s="855"/>
      <c r="O56" s="74"/>
      <c r="P56" s="12"/>
      <c r="R56" s="646"/>
      <c r="T56" s="655" t="str">
        <f>IF(D56="","",VLOOKUP(D56,'9. All Habitats + Multipliers'!$C$4:$K$102,5,FALSE))</f>
        <v/>
      </c>
      <c r="U56" s="656"/>
      <c r="V56" s="348" t="str">
        <f>IF(T56="","",VLOOKUP(T56,'11. Lists'!$S$47:$U$50,2,FALSE))</f>
        <v/>
      </c>
      <c r="W56" s="93" t="str">
        <f t="shared" si="10"/>
        <v/>
      </c>
      <c r="X56" s="94" t="str">
        <f>IF(W56="","",VLOOKUP(W56,'11. Lists'!$F$47:$G$51,2,FALSE))</f>
        <v/>
      </c>
      <c r="Y56" s="48"/>
      <c r="Z56" s="48"/>
      <c r="AA56" s="48"/>
      <c r="AB56" s="188"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x14ac:dyDescent="0.25">
      <c r="B57" s="268">
        <v>19</v>
      </c>
      <c r="C57" s="392" t="s">
        <v>235</v>
      </c>
      <c r="D57" s="73"/>
      <c r="E57" s="105" t="str">
        <f>IF(D57="","",VLOOKUP(D57,'10. Condition and Temporal'!$B$6:$D$103,3,FALSE))</f>
        <v/>
      </c>
      <c r="F57" s="851"/>
      <c r="G57" s="852"/>
      <c r="H57" s="71"/>
      <c r="I57" s="710"/>
      <c r="J57" s="711"/>
      <c r="K57" s="711"/>
      <c r="L57" s="853" t="str">
        <f t="shared" si="8"/>
        <v/>
      </c>
      <c r="M57" s="854"/>
      <c r="N57" s="855"/>
      <c r="O57" s="74"/>
      <c r="P57" s="12"/>
      <c r="R57" s="646"/>
      <c r="T57" s="655" t="str">
        <f>IF(D57="","",VLOOKUP(D57,'9. All Habitats + Multipliers'!$C$4:$K$102,5,FALSE))</f>
        <v/>
      </c>
      <c r="U57" s="656"/>
      <c r="V57" s="348" t="str">
        <f>IF(T57="","",VLOOKUP(T57,'11. Lists'!$S$47:$U$50,2,FALSE))</f>
        <v/>
      </c>
      <c r="W57" s="93" t="str">
        <f t="shared" si="10"/>
        <v/>
      </c>
      <c r="X57" s="94" t="str">
        <f>IF(W57="","",VLOOKUP(W57,'11. Lists'!$F$47:$G$51,2,FALSE))</f>
        <v/>
      </c>
      <c r="Y57" s="48"/>
      <c r="Z57" s="48"/>
      <c r="AA57" s="48"/>
      <c r="AB57" s="188"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thickBot="1" x14ac:dyDescent="0.3">
      <c r="B58" s="269">
        <v>20</v>
      </c>
      <c r="C58" s="393" t="s">
        <v>235</v>
      </c>
      <c r="D58" s="136"/>
      <c r="E58" s="137" t="str">
        <f>IF(D58="","",VLOOKUP(D58,'10. Condition and Temporal'!$B$6:$D$103,3,FALSE))</f>
        <v/>
      </c>
      <c r="F58" s="877"/>
      <c r="G58" s="878"/>
      <c r="H58" s="79"/>
      <c r="I58" s="879"/>
      <c r="J58" s="880"/>
      <c r="K58" s="880"/>
      <c r="L58" s="881" t="str">
        <f t="shared" si="8"/>
        <v/>
      </c>
      <c r="M58" s="882"/>
      <c r="N58" s="883"/>
      <c r="O58" s="75"/>
      <c r="P58" s="14"/>
      <c r="R58" s="646"/>
      <c r="T58" s="655" t="str">
        <f>IF(D58="","",VLOOKUP(D58,'9. All Habitats + Multipliers'!$C$4:$K$102,5,FALSE))</f>
        <v/>
      </c>
      <c r="U58" s="656"/>
      <c r="V58" s="348" t="str">
        <f>IF(T58="","",VLOOKUP(T58,'11. Lists'!$S$47:$U$50,2,FALSE))</f>
        <v/>
      </c>
      <c r="W58" s="98" t="str">
        <f t="shared" si="10"/>
        <v/>
      </c>
      <c r="X58" s="99" t="str">
        <f>IF(W58="","",VLOOKUP(W58,'11. Lists'!$F$47:$G$51,2,FALSE))</f>
        <v/>
      </c>
      <c r="Y58" s="48"/>
      <c r="Z58" s="48"/>
      <c r="AA58" s="48"/>
      <c r="AB58" s="188"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x14ac:dyDescent="0.3">
      <c r="H59" s="273" t="s">
        <v>236</v>
      </c>
      <c r="I59" s="810">
        <f>SUM(I39:K58)</f>
        <v>0</v>
      </c>
      <c r="J59" s="811"/>
      <c r="K59" s="812"/>
      <c r="L59" s="856">
        <f>SUM(L39:N58)</f>
        <v>0</v>
      </c>
      <c r="M59" s="920"/>
      <c r="N59" s="857"/>
      <c r="R59" s="646"/>
    </row>
    <row r="60" spans="1:73" s="25" customFormat="1" ht="15.75" thickBot="1" x14ac:dyDescent="0.3">
      <c r="H60" s="276" t="s">
        <v>106</v>
      </c>
      <c r="I60" s="897" t="str">
        <f>IF(I59&lt;5000,"Lengths Acceptable ✓",IF(I59&gt;=5000,"Length Exceeds Length Appropriate for Small Sites Metric ▲"))</f>
        <v>Lengths Acceptable ✓</v>
      </c>
      <c r="J60" s="897"/>
      <c r="K60" s="897"/>
      <c r="L60" s="897"/>
      <c r="M60" s="897"/>
      <c r="N60" s="898"/>
      <c r="R60" s="646"/>
    </row>
    <row r="61" spans="1:73" s="25" customFormat="1" x14ac:dyDescent="0.25">
      <c r="R61" s="646"/>
      <c r="BA61" s="50" t="s">
        <v>126</v>
      </c>
    </row>
    <row r="62" spans="1:73" s="25" customFormat="1" ht="21" x14ac:dyDescent="0.35">
      <c r="B62" s="57" t="s">
        <v>127</v>
      </c>
      <c r="D62" s="88"/>
      <c r="H62" s="26"/>
      <c r="R62" s="646"/>
      <c r="BA62" s="50" t="s">
        <v>128</v>
      </c>
    </row>
    <row r="63" spans="1:73" s="25" customFormat="1" ht="15.75" thickBot="1" x14ac:dyDescent="0.3">
      <c r="A63" s="871"/>
      <c r="R63" s="646"/>
    </row>
    <row r="64" spans="1:73" s="25" customFormat="1" ht="16.149999999999999" customHeight="1" thickBot="1" x14ac:dyDescent="0.3">
      <c r="A64" s="871"/>
      <c r="B64" s="678" t="s">
        <v>129</v>
      </c>
      <c r="C64" s="674" t="s">
        <v>130</v>
      </c>
      <c r="D64" s="676"/>
      <c r="E64" s="717" t="s">
        <v>131</v>
      </c>
      <c r="F64" s="718"/>
      <c r="G64" s="719"/>
      <c r="H64" s="660" t="s">
        <v>132</v>
      </c>
      <c r="I64" s="660" t="s">
        <v>239</v>
      </c>
      <c r="J64" s="806" t="s">
        <v>134</v>
      </c>
      <c r="K64" s="807"/>
      <c r="L64" s="755" t="s">
        <v>135</v>
      </c>
      <c r="M64" s="675" t="s">
        <v>136</v>
      </c>
      <c r="N64" s="676"/>
      <c r="O64" s="741" t="s">
        <v>77</v>
      </c>
      <c r="P64" s="742"/>
      <c r="R64" s="646"/>
      <c r="T64" s="653" t="s">
        <v>137</v>
      </c>
      <c r="U64" s="654"/>
      <c r="V64" s="654"/>
      <c r="W64" s="654"/>
      <c r="X64" s="654"/>
      <c r="Y64" s="654"/>
      <c r="Z64" s="654"/>
      <c r="AA64" s="654"/>
      <c r="AB64" s="654"/>
      <c r="AC64" s="654"/>
      <c r="AD64" s="659"/>
      <c r="AE64" s="660" t="s">
        <v>138</v>
      </c>
      <c r="AF64" s="653" t="s">
        <v>139</v>
      </c>
      <c r="AG64" s="654"/>
      <c r="AH64" s="654"/>
      <c r="AI64" s="654"/>
      <c r="AJ64" s="919"/>
      <c r="AK64" s="919"/>
      <c r="AL64" s="919"/>
      <c r="AM64" s="919"/>
      <c r="AN64" s="919"/>
      <c r="AO64" s="654"/>
      <c r="AP64" s="659"/>
      <c r="AQ64" s="662" t="s">
        <v>140</v>
      </c>
      <c r="AR64" s="653" t="s">
        <v>139</v>
      </c>
      <c r="AS64" s="654"/>
      <c r="AT64" s="654"/>
      <c r="AU64" s="654"/>
      <c r="AV64" s="654"/>
      <c r="AW64" s="654"/>
      <c r="AX64" s="659"/>
      <c r="BA64" s="158" t="s">
        <v>141</v>
      </c>
      <c r="BB64" s="189">
        <f>COUNTIF(BB66:BB85,"?*")</f>
        <v>0</v>
      </c>
      <c r="BC64" s="189">
        <f t="shared" ref="BC64:BU64" si="11">COUNTIF(BC66:BC85,"?*")</f>
        <v>0</v>
      </c>
      <c r="BD64" s="189">
        <f t="shared" si="11"/>
        <v>0</v>
      </c>
      <c r="BE64" s="189">
        <f t="shared" si="11"/>
        <v>0</v>
      </c>
      <c r="BF64" s="189">
        <f t="shared" si="11"/>
        <v>0</v>
      </c>
      <c r="BG64" s="189">
        <f t="shared" si="11"/>
        <v>0</v>
      </c>
      <c r="BH64" s="189">
        <f t="shared" si="11"/>
        <v>0</v>
      </c>
      <c r="BI64" s="189">
        <f t="shared" si="11"/>
        <v>0</v>
      </c>
      <c r="BJ64" s="189">
        <f t="shared" si="11"/>
        <v>0</v>
      </c>
      <c r="BK64" s="189">
        <f t="shared" si="11"/>
        <v>0</v>
      </c>
      <c r="BL64" s="189">
        <f t="shared" si="11"/>
        <v>0</v>
      </c>
      <c r="BM64" s="189">
        <f t="shared" si="11"/>
        <v>0</v>
      </c>
      <c r="BN64" s="189">
        <f t="shared" si="11"/>
        <v>0</v>
      </c>
      <c r="BO64" s="189">
        <f t="shared" si="11"/>
        <v>0</v>
      </c>
      <c r="BP64" s="189">
        <f t="shared" si="11"/>
        <v>0</v>
      </c>
      <c r="BQ64" s="189">
        <f t="shared" si="11"/>
        <v>0</v>
      </c>
      <c r="BR64" s="189">
        <f t="shared" si="11"/>
        <v>0</v>
      </c>
      <c r="BS64" s="189">
        <f t="shared" si="11"/>
        <v>0</v>
      </c>
      <c r="BT64" s="189">
        <f t="shared" si="11"/>
        <v>0</v>
      </c>
      <c r="BU64" s="189">
        <f t="shared" si="11"/>
        <v>0</v>
      </c>
    </row>
    <row r="65" spans="1:76" s="25" customFormat="1" ht="41.65" customHeight="1" thickBot="1" x14ac:dyDescent="0.3">
      <c r="A65" s="871"/>
      <c r="B65" s="679"/>
      <c r="C65" s="215" t="s">
        <v>142</v>
      </c>
      <c r="D65" s="90" t="s">
        <v>143</v>
      </c>
      <c r="E65" s="86" t="s">
        <v>144</v>
      </c>
      <c r="F65" s="715" t="s">
        <v>145</v>
      </c>
      <c r="G65" s="716"/>
      <c r="H65" s="661"/>
      <c r="I65" s="661"/>
      <c r="J65" s="808"/>
      <c r="K65" s="809"/>
      <c r="L65" s="861"/>
      <c r="M65" s="833"/>
      <c r="N65" s="834"/>
      <c r="O65" s="200" t="s">
        <v>92</v>
      </c>
      <c r="P65" s="90" t="s">
        <v>93</v>
      </c>
      <c r="R65" s="646"/>
      <c r="T65" s="336" t="s">
        <v>146</v>
      </c>
      <c r="U65" s="355" t="s">
        <v>147</v>
      </c>
      <c r="V65" s="354" t="s">
        <v>148</v>
      </c>
      <c r="W65" s="355" t="s">
        <v>149</v>
      </c>
      <c r="X65" s="358" t="s">
        <v>150</v>
      </c>
      <c r="Y65" s="359"/>
      <c r="Z65" s="359"/>
      <c r="AA65" s="359"/>
      <c r="AB65" s="358" t="s">
        <v>151</v>
      </c>
      <c r="AC65" s="357" t="s">
        <v>152</v>
      </c>
      <c r="AD65" s="354" t="s">
        <v>153</v>
      </c>
      <c r="AE65" s="661"/>
      <c r="AF65" s="337" t="s">
        <v>146</v>
      </c>
      <c r="AG65" s="355" t="s">
        <v>94</v>
      </c>
      <c r="AH65" s="354" t="s">
        <v>95</v>
      </c>
      <c r="AI65" s="337" t="s">
        <v>96</v>
      </c>
      <c r="AJ65" s="361" t="s">
        <v>95</v>
      </c>
      <c r="AK65" s="370"/>
      <c r="AL65" s="370"/>
      <c r="AM65" s="370"/>
      <c r="AN65" s="362" t="s">
        <v>80</v>
      </c>
      <c r="AO65" s="356" t="s">
        <v>80</v>
      </c>
      <c r="AP65" s="354" t="s">
        <v>97</v>
      </c>
      <c r="AQ65" s="918"/>
      <c r="AR65" s="354" t="s">
        <v>154</v>
      </c>
      <c r="AS65" s="355" t="s">
        <v>155</v>
      </c>
      <c r="AT65" s="354" t="s">
        <v>156</v>
      </c>
      <c r="AU65" s="356" t="s">
        <v>157</v>
      </c>
      <c r="AV65" s="354" t="s">
        <v>158</v>
      </c>
      <c r="AW65" s="185" t="s">
        <v>159</v>
      </c>
      <c r="AX65" s="186" t="s">
        <v>160</v>
      </c>
      <c r="BA65" s="83" t="s">
        <v>240</v>
      </c>
      <c r="BB65" s="173">
        <v>1</v>
      </c>
      <c r="BC65" s="173">
        <v>2</v>
      </c>
      <c r="BD65" s="173">
        <v>3</v>
      </c>
      <c r="BE65" s="173">
        <v>4</v>
      </c>
      <c r="BF65" s="173">
        <v>5</v>
      </c>
      <c r="BG65" s="173">
        <v>6</v>
      </c>
      <c r="BH65" s="173">
        <v>7</v>
      </c>
      <c r="BI65" s="173">
        <v>8</v>
      </c>
      <c r="BJ65" s="173">
        <v>9</v>
      </c>
      <c r="BK65" s="173">
        <v>10</v>
      </c>
      <c r="BL65" s="173">
        <v>11</v>
      </c>
      <c r="BM65" s="173">
        <v>12</v>
      </c>
      <c r="BN65" s="173">
        <v>13</v>
      </c>
      <c r="BO65" s="173">
        <v>14</v>
      </c>
      <c r="BP65" s="173">
        <v>15</v>
      </c>
      <c r="BQ65" s="173">
        <v>16</v>
      </c>
      <c r="BR65" s="173">
        <v>17</v>
      </c>
      <c r="BS65" s="173">
        <v>18</v>
      </c>
      <c r="BT65" s="173">
        <v>19</v>
      </c>
      <c r="BU65" s="173">
        <v>20</v>
      </c>
      <c r="BV65" s="187" t="s">
        <v>163</v>
      </c>
      <c r="BW65" s="173" t="s">
        <v>164</v>
      </c>
      <c r="BX65" s="173" t="s">
        <v>165</v>
      </c>
    </row>
    <row r="66" spans="1:76" s="25" customFormat="1" ht="15.75" x14ac:dyDescent="0.25">
      <c r="B66" s="274">
        <v>1</v>
      </c>
      <c r="C66" s="423" t="str">
        <f t="shared" ref="C66:C85" si="12">IF(D66="","",C11)</f>
        <v/>
      </c>
      <c r="D66" s="424" t="str">
        <f>IF(OR(K11="", K11=0),"",D11)</f>
        <v/>
      </c>
      <c r="E66" s="425" t="str">
        <f t="shared" ref="E66:E85" si="13">IF(AX66="","",AX66)</f>
        <v/>
      </c>
      <c r="F66" s="875"/>
      <c r="G66" s="876"/>
      <c r="H66" s="426" t="str">
        <f t="shared" ref="H66:H85" si="14">IF(D66="","",AB66)</f>
        <v/>
      </c>
      <c r="I66" s="427" t="str">
        <f>IF(OR(K11="", K11=0),"",K11)</f>
        <v/>
      </c>
      <c r="J66" s="872" t="str">
        <f>IFERROR(IF(F66="","",VLOOKUP(F66,'10. Condition and Temporal'!$B$6:$F$103,5,FALSE)), "Error ▲")</f>
        <v/>
      </c>
      <c r="K66" s="873"/>
      <c r="L66" s="299" t="str">
        <f>IFERROR(IF(D66="","",IF(AX66="Distinctiveness",(((((I66*AH66*AJ66)-(I66*V66*X66))*(AV66*AT66))+(I66*V66*X66))*AP66/1000),((((I66*AH66*AJ66)-(I66*V66*X66))*(AV66*AR66))+(I66*V66*X66))*AP66/1000)),"This intervention is not permitted within the SSM ▲")</f>
        <v/>
      </c>
      <c r="M66" s="862" t="str">
        <f>IFERROR(IF(F66="","",L66-AD66), "Error ▲")</f>
        <v/>
      </c>
      <c r="N66" s="863"/>
      <c r="O66" s="221"/>
      <c r="P66" s="145"/>
      <c r="R66" s="646"/>
      <c r="T66" s="181" t="str">
        <f t="shared" ref="T66:T85" si="15">IF(D66="","",K11)</f>
        <v/>
      </c>
      <c r="U66" s="115" t="str">
        <f>IF($D66="","",T11)</f>
        <v/>
      </c>
      <c r="V66" s="116" t="str">
        <f t="shared" ref="V66:X85" si="16">IF($D66="","",V11)</f>
        <v/>
      </c>
      <c r="W66" s="115" t="str">
        <f t="shared" si="16"/>
        <v/>
      </c>
      <c r="X66" s="95" t="str">
        <f t="shared" si="16"/>
        <v/>
      </c>
      <c r="Y66" s="347"/>
      <c r="Z66" s="347"/>
      <c r="AA66" s="347"/>
      <c r="AB66" s="95" t="str">
        <f t="shared" ref="AB66:AB85" si="17">IF($D66="","",AB11)</f>
        <v/>
      </c>
      <c r="AC66" s="117" t="str">
        <f t="shared" ref="AC66:AC85" si="18">IF($D66="","",AD11)</f>
        <v/>
      </c>
      <c r="AD66" s="116" t="str">
        <f>IF(AC66="","",(T66*V66*X66)*AC66/1000)</f>
        <v/>
      </c>
      <c r="AE66" s="183" t="str">
        <f>IF(AD66="","",IF(AH66&lt;V66,"Not Acceptable","Acceptable"))</f>
        <v/>
      </c>
      <c r="AF66" s="114" t="str">
        <f t="shared" ref="AF66:AF85" si="19">IF(D66="","",I66)</f>
        <v/>
      </c>
      <c r="AG66" s="115" t="str">
        <f>IF(D66="","",VLOOKUP(F66,'9. All Habitats + Multipliers'!$C$4:$K$102,5,FALSE))</f>
        <v/>
      </c>
      <c r="AH66" s="116" t="str">
        <f>IF(AG66="","",VLOOKUP(AG66,'11. Lists'!$S$47:$U$50,2,FALSE))</f>
        <v/>
      </c>
      <c r="AI66" s="114" t="str">
        <f t="shared" ref="AI66:AI85" si="20">IF(D66="","",J66)</f>
        <v/>
      </c>
      <c r="AJ66" s="93" t="str">
        <f>IF(AI66="","",VLOOKUP(AI66,'11. Lists'!$F$47:$G$51,2,FALSE))</f>
        <v/>
      </c>
      <c r="AK66" s="347"/>
      <c r="AL66" s="347"/>
      <c r="AM66" s="347"/>
      <c r="AN66" s="94" t="str">
        <f t="shared" ref="AN66:AN85" si="21">IF(H66="","",H66)</f>
        <v/>
      </c>
      <c r="AO66" s="118" t="str">
        <f>IF(AN66="","",VLOOKUP(AN66,'11. Lists'!$F$36:$H$38,2,FALSE))</f>
        <v/>
      </c>
      <c r="AP66" s="116" t="str">
        <f>IF(AN66="","",VLOOKUP(AN66,'11. Lists'!$F$36:$H$38,3,FALSE))</f>
        <v/>
      </c>
      <c r="AQ66" s="115" t="str">
        <f>IF(D66="","",IF(AX66="Distinctiveness","N/A",VLOOKUP(F66,'10. Condition and Temporal'!$B$6:$L$103,11,FALSE)))</f>
        <v/>
      </c>
      <c r="AR66" s="119" t="str">
        <f>IF(AQ66="","",IF(AQ66="N/A","1",VLOOKUP(AQ66,'11. Lists'!$I$47:$K$80,3,FALSE)))</f>
        <v/>
      </c>
      <c r="AS66" s="135" t="str">
        <f>IF(D66="","",IF(AX66="Condition","N/A",VLOOKUP(F66,'10. Condition and Temporal'!$B$6:$M$106,12,FALSE)))</f>
        <v/>
      </c>
      <c r="AT66" s="119" t="str">
        <f>IF(AS66="","",IF(AS66="N/A","1",VLOOKUP(AS66,'11. Lists'!$I$47:$K$80,3,FALSE)))</f>
        <v/>
      </c>
      <c r="AU66" s="118" t="str">
        <f>IF(D66="","",VLOOKUP(F66,'9. All Habitats + Multipliers'!$C$4:$K$102,8,FALSE))</f>
        <v/>
      </c>
      <c r="AV66" s="116" t="str">
        <f>IF(AU66="","",VLOOKUP(AU66,'11. Lists'!$J$35:$K$38,2,FALSE))</f>
        <v/>
      </c>
      <c r="AW66" s="115" t="str">
        <f>IF(D66="","",VLOOKUP(D66,'10. Condition and Temporal'!$B$6:$M$103,4,FALSE))</f>
        <v/>
      </c>
      <c r="AX66" s="116" t="str">
        <f t="shared" ref="AX66:AX85" si="22">IF(F66="","",IF(D66=F66,"Condition","Distinctiveness"))</f>
        <v/>
      </c>
      <c r="AZ66" s="210"/>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8" t="str">
        <f>IF(BX66=0,"",CONCATENATE(BW66,"66:",BW66,BX66+65))</f>
        <v/>
      </c>
      <c r="BW66" s="95" t="s">
        <v>166</v>
      </c>
      <c r="BX66" s="95">
        <f>BB64</f>
        <v>0</v>
      </c>
    </row>
    <row r="67" spans="1:76" s="25" customFormat="1" ht="15.75" x14ac:dyDescent="0.25">
      <c r="B67" s="268">
        <v>2</v>
      </c>
      <c r="C67" s="120" t="str">
        <f t="shared" si="12"/>
        <v/>
      </c>
      <c r="D67" s="212" t="str">
        <f t="shared" ref="D67:D85" si="43">IF(OR(K12="", K12=0),"",D12)</f>
        <v/>
      </c>
      <c r="E67" s="170" t="str">
        <f t="shared" si="13"/>
        <v/>
      </c>
      <c r="F67" s="664"/>
      <c r="G67" s="665"/>
      <c r="H67" s="167" t="str">
        <f t="shared" si="14"/>
        <v/>
      </c>
      <c r="I67" s="324" t="str">
        <f t="shared" ref="I67:I85" si="44">IF(OR(K12="", K12=0),"",K12)</f>
        <v/>
      </c>
      <c r="J67" s="859" t="str">
        <f>IFERROR(IF(F67="","",VLOOKUP(F67,'10. Condition and Temporal'!$B$6:$F$103,5,FALSE)), "Error ▲")</f>
        <v/>
      </c>
      <c r="K67" s="860"/>
      <c r="L67" s="287" t="str">
        <f t="shared" ref="L67:L85" si="45">IFERROR(IF(D67="","",IF(AX67="Distinctiveness",(((((I67*AH67*AJ67)-(I67*V67*X67))*(AV67*AT67))+(I67*V67*X67))*AP67/1000),((((I67*AH67*AJ67)-(I67*V67*X67))*(AV67*AR67))+(I67*V67*X67))*AP67/1000)),"This intervention is not permitted within the SSM ▲")</f>
        <v/>
      </c>
      <c r="M67" s="704" t="str">
        <f t="shared" ref="M67:M85" si="46">IFERROR(IF(F67="","",L67-AD67), "Error ▲")</f>
        <v/>
      </c>
      <c r="N67" s="858"/>
      <c r="O67" s="74"/>
      <c r="P67" s="12"/>
      <c r="R67" s="646"/>
      <c r="T67" s="181" t="str">
        <f t="shared" si="15"/>
        <v/>
      </c>
      <c r="U67" s="115" t="str">
        <f t="shared" ref="U67:U85" si="47">IF($D67="","",T12)</f>
        <v/>
      </c>
      <c r="V67" s="116" t="str">
        <f t="shared" si="16"/>
        <v/>
      </c>
      <c r="W67" s="115" t="str">
        <f t="shared" si="16"/>
        <v/>
      </c>
      <c r="X67" s="95" t="str">
        <f t="shared" si="16"/>
        <v/>
      </c>
      <c r="Y67" s="347"/>
      <c r="Z67" s="347"/>
      <c r="AA67" s="347"/>
      <c r="AB67" s="95" t="str">
        <f t="shared" si="17"/>
        <v/>
      </c>
      <c r="AC67" s="117" t="str">
        <f t="shared" si="18"/>
        <v/>
      </c>
      <c r="AD67" s="116" t="str">
        <f>IF(AC67="","",(T67*V67*X67)*AC67/1000)</f>
        <v/>
      </c>
      <c r="AE67" s="183" t="str">
        <f t="shared" ref="AE67:AE85" si="48">IF(AD67="","",IF(AH67&lt;V67,"Not Acceptable","Acceptable"))</f>
        <v/>
      </c>
      <c r="AF67" s="114" t="str">
        <f t="shared" si="19"/>
        <v/>
      </c>
      <c r="AG67" s="115" t="str">
        <f>IF(D67="","",VLOOKUP(F67,'9. All Habitats + Multipliers'!$C$4:$K$102,5,FALSE))</f>
        <v/>
      </c>
      <c r="AH67" s="116" t="str">
        <f>IF(AG67="","",VLOOKUP(AG67,'11. Lists'!$S$47:$U$50,2,FALSE))</f>
        <v/>
      </c>
      <c r="AI67" s="114" t="str">
        <f t="shared" si="20"/>
        <v/>
      </c>
      <c r="AJ67" s="93" t="str">
        <f>IF(AI67="","",VLOOKUP(AI67,'11. Lists'!$F$47:$G$51,2,FALSE))</f>
        <v/>
      </c>
      <c r="AK67" s="347"/>
      <c r="AL67" s="347"/>
      <c r="AM67" s="347"/>
      <c r="AN67" s="94" t="str">
        <f t="shared" si="21"/>
        <v/>
      </c>
      <c r="AO67" s="118" t="str">
        <f>IF(AN67="","",VLOOKUP(AN67,'11. Lists'!$F$36:$H$38,2,FALSE))</f>
        <v/>
      </c>
      <c r="AP67" s="116" t="str">
        <f>IF(AN67="","",VLOOKUP(AN67,'11. Lists'!$F$36:$H$38,3,FALSE))</f>
        <v/>
      </c>
      <c r="AQ67" s="115" t="str">
        <f>IF(D67="","",IF(AX67="Distinctiveness","N/A",VLOOKUP(F67,'10. Condition and Temporal'!$B$6:$L$103,11,FALSE)))</f>
        <v/>
      </c>
      <c r="AR67" s="119" t="str">
        <f>IF(AQ67="","",IF(AQ67="N/A","1",VLOOKUP(AQ67,'11. Lists'!$I$47:$K$80,3,FALSE)))</f>
        <v/>
      </c>
      <c r="AS67" s="135" t="str">
        <f>IF(D67="","",IF(AX67="Condition","N/A",VLOOKUP(F67,'10. Condition and Temporal'!$B$6:$M$106,12,FALSE)))</f>
        <v/>
      </c>
      <c r="AT67" s="119" t="str">
        <f>IF(AS67="","",IF(AS67="N/A","1",VLOOKUP(AS67,'11. Lists'!$I$47:$K$80,3,FALSE)))</f>
        <v/>
      </c>
      <c r="AU67" s="118" t="str">
        <f>IF(D67="","",VLOOKUP(F67,'9. All Habitats + Multipliers'!$C$4:$K$102,8,FALSE))</f>
        <v/>
      </c>
      <c r="AV67" s="116" t="str">
        <f>IF(AU67="","",VLOOKUP(AU67,'11. Lists'!$J$35:$K$38,2,FALSE))</f>
        <v/>
      </c>
      <c r="AW67" s="115" t="str">
        <f>IF(D67="","",VLOOKUP(D67,'10. Condition and Temporal'!$B$6:$M$103,4,FALSE))</f>
        <v/>
      </c>
      <c r="AX67" s="116" t="str">
        <f t="shared" si="22"/>
        <v/>
      </c>
      <c r="AZ67" s="210"/>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8" t="str">
        <f t="shared" ref="BV67:BV85" si="49">IF(BX67=0,"",CONCATENATE(BW67,"66:",BW67,BX67+65))</f>
        <v/>
      </c>
      <c r="BW67" s="95" t="s">
        <v>167</v>
      </c>
      <c r="BX67" s="95">
        <f>BC64</f>
        <v>0</v>
      </c>
    </row>
    <row r="68" spans="1:76" s="25" customFormat="1" ht="15.75" x14ac:dyDescent="0.25">
      <c r="B68" s="268">
        <v>3</v>
      </c>
      <c r="C68" s="120" t="str">
        <f t="shared" si="12"/>
        <v/>
      </c>
      <c r="D68" s="212" t="str">
        <f t="shared" si="43"/>
        <v/>
      </c>
      <c r="E68" s="170" t="str">
        <f t="shared" si="13"/>
        <v/>
      </c>
      <c r="F68" s="664"/>
      <c r="G68" s="665"/>
      <c r="H68" s="167" t="str">
        <f t="shared" si="14"/>
        <v/>
      </c>
      <c r="I68" s="324" t="str">
        <f t="shared" si="44"/>
        <v/>
      </c>
      <c r="J68" s="859" t="str">
        <f>IFERROR(IF(F68="","",VLOOKUP(F68,'10. Condition and Temporal'!$B$6:$F$103,5,FALSE)), "Error ▲")</f>
        <v/>
      </c>
      <c r="K68" s="860"/>
      <c r="L68" s="287" t="str">
        <f t="shared" si="45"/>
        <v/>
      </c>
      <c r="M68" s="704" t="str">
        <f t="shared" si="46"/>
        <v/>
      </c>
      <c r="N68" s="858"/>
      <c r="O68" s="74"/>
      <c r="P68" s="12"/>
      <c r="R68" s="646"/>
      <c r="T68" s="181" t="str">
        <f t="shared" si="15"/>
        <v/>
      </c>
      <c r="U68" s="115" t="str">
        <f t="shared" si="47"/>
        <v/>
      </c>
      <c r="V68" s="116" t="str">
        <f t="shared" si="16"/>
        <v/>
      </c>
      <c r="W68" s="115" t="str">
        <f t="shared" si="16"/>
        <v/>
      </c>
      <c r="X68" s="95" t="str">
        <f t="shared" si="16"/>
        <v/>
      </c>
      <c r="Y68" s="347"/>
      <c r="Z68" s="347"/>
      <c r="AA68" s="347"/>
      <c r="AB68" s="95" t="str">
        <f t="shared" si="17"/>
        <v/>
      </c>
      <c r="AC68" s="117" t="str">
        <f t="shared" si="18"/>
        <v/>
      </c>
      <c r="AD68" s="116" t="str">
        <f t="shared" ref="AD68:AD85" si="50">IF(AC68="","",(T68*V68*X68)*AC68/1000)</f>
        <v/>
      </c>
      <c r="AE68" s="183" t="str">
        <f t="shared" si="48"/>
        <v/>
      </c>
      <c r="AF68" s="114" t="str">
        <f t="shared" si="19"/>
        <v/>
      </c>
      <c r="AG68" s="115" t="str">
        <f>IF(D68="","",VLOOKUP(F68,'9. All Habitats + Multipliers'!$C$4:$K$102,5,FALSE))</f>
        <v/>
      </c>
      <c r="AH68" s="116" t="str">
        <f>IF(AG68="","",VLOOKUP(AG68,'11. Lists'!$S$47:$U$50,2,FALSE))</f>
        <v/>
      </c>
      <c r="AI68" s="114" t="str">
        <f t="shared" si="20"/>
        <v/>
      </c>
      <c r="AJ68" s="93" t="str">
        <f>IF(AI68="","",VLOOKUP(AI68,'11. Lists'!$F$47:$G$51,2,FALSE))</f>
        <v/>
      </c>
      <c r="AK68" s="347"/>
      <c r="AL68" s="347"/>
      <c r="AM68" s="347"/>
      <c r="AN68" s="94" t="str">
        <f t="shared" si="21"/>
        <v/>
      </c>
      <c r="AO68" s="118" t="str">
        <f>IF(AN68="","",VLOOKUP(AN68,'11. Lists'!$F$36:$H$38,2,FALSE))</f>
        <v/>
      </c>
      <c r="AP68" s="116" t="str">
        <f>IF(AN68="","",VLOOKUP(AN68,'11. Lists'!$F$36:$H$38,3,FALSE))</f>
        <v/>
      </c>
      <c r="AQ68" s="115" t="str">
        <f>IF(D68="","",IF(AX68="Distinctiveness","N/A",VLOOKUP(F68,'10. Condition and Temporal'!$B$6:$L$103,11,FALSE)))</f>
        <v/>
      </c>
      <c r="AR68" s="119" t="str">
        <f>IF(AQ68="","",IF(AQ68="N/A","1",VLOOKUP(AQ68,'11. Lists'!$I$47:$K$80,3,FALSE)))</f>
        <v/>
      </c>
      <c r="AS68" s="135" t="str">
        <f>IF(D68="","",IF(AX68="Condition","N/A",VLOOKUP(F68,'10. Condition and Temporal'!$B$6:$M$106,12,FALSE)))</f>
        <v/>
      </c>
      <c r="AT68" s="119" t="str">
        <f>IF(AS68="","",IF(AS68="N/A","1",VLOOKUP(AS68,'11. Lists'!$I$47:$K$80,3,FALSE)))</f>
        <v/>
      </c>
      <c r="AU68" s="118" t="str">
        <f>IF(D68="","",VLOOKUP(F68,'9. All Habitats + Multipliers'!$C$4:$K$102,8,FALSE))</f>
        <v/>
      </c>
      <c r="AV68" s="116" t="str">
        <f>IF(AU68="","",VLOOKUP(AU68,'11. Lists'!$J$35:$K$38,2,FALSE))</f>
        <v/>
      </c>
      <c r="AW68" s="115" t="str">
        <f>IF(D68="","",VLOOKUP(D68,'10. Condition and Temporal'!$B$6:$M$103,4,FALSE))</f>
        <v/>
      </c>
      <c r="AX68" s="116" t="str">
        <f t="shared" si="22"/>
        <v/>
      </c>
      <c r="AZ68" s="210"/>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8" t="str">
        <f t="shared" si="49"/>
        <v/>
      </c>
      <c r="BW68" s="95" t="s">
        <v>168</v>
      </c>
      <c r="BX68" s="95">
        <f>BD64</f>
        <v>0</v>
      </c>
    </row>
    <row r="69" spans="1:76" s="25" customFormat="1" ht="15.75" x14ac:dyDescent="0.25">
      <c r="B69" s="268">
        <v>4</v>
      </c>
      <c r="C69" s="120" t="str">
        <f t="shared" si="12"/>
        <v/>
      </c>
      <c r="D69" s="212" t="str">
        <f t="shared" si="43"/>
        <v/>
      </c>
      <c r="E69" s="170" t="str">
        <f t="shared" si="13"/>
        <v/>
      </c>
      <c r="F69" s="664"/>
      <c r="G69" s="665"/>
      <c r="H69" s="167" t="str">
        <f t="shared" si="14"/>
        <v/>
      </c>
      <c r="I69" s="324" t="str">
        <f t="shared" si="44"/>
        <v/>
      </c>
      <c r="J69" s="859" t="str">
        <f>IFERROR(IF(F69="","",VLOOKUP(F69,'10. Condition and Temporal'!$B$6:$F$103,5,FALSE)), "Error ▲")</f>
        <v/>
      </c>
      <c r="K69" s="860"/>
      <c r="L69" s="287" t="str">
        <f t="shared" si="45"/>
        <v/>
      </c>
      <c r="M69" s="704" t="str">
        <f t="shared" si="46"/>
        <v/>
      </c>
      <c r="N69" s="858"/>
      <c r="O69" s="74"/>
      <c r="P69" s="12"/>
      <c r="R69" s="646"/>
      <c r="T69" s="181" t="str">
        <f t="shared" si="15"/>
        <v/>
      </c>
      <c r="U69" s="115" t="str">
        <f t="shared" si="47"/>
        <v/>
      </c>
      <c r="V69" s="116" t="str">
        <f t="shared" si="16"/>
        <v/>
      </c>
      <c r="W69" s="115" t="str">
        <f t="shared" si="16"/>
        <v/>
      </c>
      <c r="X69" s="95" t="str">
        <f t="shared" si="16"/>
        <v/>
      </c>
      <c r="Y69" s="347"/>
      <c r="Z69" s="347"/>
      <c r="AA69" s="347"/>
      <c r="AB69" s="95" t="str">
        <f t="shared" si="17"/>
        <v/>
      </c>
      <c r="AC69" s="117" t="str">
        <f t="shared" si="18"/>
        <v/>
      </c>
      <c r="AD69" s="116" t="str">
        <f t="shared" si="50"/>
        <v/>
      </c>
      <c r="AE69" s="183" t="str">
        <f t="shared" si="48"/>
        <v/>
      </c>
      <c r="AF69" s="114" t="str">
        <f t="shared" si="19"/>
        <v/>
      </c>
      <c r="AG69" s="115" t="str">
        <f>IF(D69="","",VLOOKUP(F69,'9. All Habitats + Multipliers'!$C$4:$K$102,5,FALSE))</f>
        <v/>
      </c>
      <c r="AH69" s="116" t="str">
        <f>IF(AG69="","",VLOOKUP(AG69,'11. Lists'!$S$47:$U$50,2,FALSE))</f>
        <v/>
      </c>
      <c r="AI69" s="114" t="str">
        <f t="shared" si="20"/>
        <v/>
      </c>
      <c r="AJ69" s="93" t="str">
        <f>IF(AI69="","",VLOOKUP(AI69,'11. Lists'!$F$47:$G$51,2,FALSE))</f>
        <v/>
      </c>
      <c r="AK69" s="347"/>
      <c r="AL69" s="347"/>
      <c r="AM69" s="347"/>
      <c r="AN69" s="94" t="str">
        <f t="shared" si="21"/>
        <v/>
      </c>
      <c r="AO69" s="118" t="str">
        <f>IF(AN69="","",VLOOKUP(AN69,'11. Lists'!$F$36:$H$38,2,FALSE))</f>
        <v/>
      </c>
      <c r="AP69" s="116" t="str">
        <f>IF(AN69="","",VLOOKUP(AN69,'11. Lists'!$F$36:$H$38,3,FALSE))</f>
        <v/>
      </c>
      <c r="AQ69" s="115" t="str">
        <f>IF(D69="","",IF(AX69="Distinctiveness","N/A",VLOOKUP(F69,'10. Condition and Temporal'!$B$6:$L$103,11,FALSE)))</f>
        <v/>
      </c>
      <c r="AR69" s="119" t="str">
        <f>IF(AQ69="","",IF(AQ69="N/A","1",VLOOKUP(AQ69,'11. Lists'!$I$47:$K$80,3,FALSE)))</f>
        <v/>
      </c>
      <c r="AS69" s="135" t="str">
        <f>IF(D69="","",IF(AX69="Condition","N/A",VLOOKUP(F69,'10. Condition and Temporal'!$B$6:$M$106,12,FALSE)))</f>
        <v/>
      </c>
      <c r="AT69" s="119" t="str">
        <f>IF(AS69="","",IF(AS69="N/A","1",VLOOKUP(AS69,'11. Lists'!$I$47:$K$80,3,FALSE)))</f>
        <v/>
      </c>
      <c r="AU69" s="118" t="str">
        <f>IF(D69="","",VLOOKUP(F69,'9. All Habitats + Multipliers'!$C$4:$K$102,8,FALSE))</f>
        <v/>
      </c>
      <c r="AV69" s="116" t="str">
        <f>IF(AU69="","",VLOOKUP(AU69,'11. Lists'!$J$35:$K$38,2,FALSE))</f>
        <v/>
      </c>
      <c r="AW69" s="115" t="str">
        <f>IF(D69="","",VLOOKUP(D69,'10. Condition and Temporal'!$B$6:$M$103,4,FALSE))</f>
        <v/>
      </c>
      <c r="AX69" s="116" t="str">
        <f t="shared" si="22"/>
        <v/>
      </c>
      <c r="AZ69" s="210"/>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8" t="str">
        <f t="shared" si="49"/>
        <v/>
      </c>
      <c r="BW69" s="95" t="s">
        <v>169</v>
      </c>
      <c r="BX69" s="95">
        <f>BE64</f>
        <v>0</v>
      </c>
    </row>
    <row r="70" spans="1:76" s="25" customFormat="1" ht="15.75" x14ac:dyDescent="0.25">
      <c r="B70" s="268">
        <v>5</v>
      </c>
      <c r="C70" s="120" t="str">
        <f t="shared" si="12"/>
        <v/>
      </c>
      <c r="D70" s="212" t="str">
        <f t="shared" si="43"/>
        <v/>
      </c>
      <c r="E70" s="170" t="str">
        <f t="shared" si="13"/>
        <v/>
      </c>
      <c r="F70" s="664"/>
      <c r="G70" s="665"/>
      <c r="H70" s="167" t="str">
        <f t="shared" si="14"/>
        <v/>
      </c>
      <c r="I70" s="324" t="str">
        <f t="shared" si="44"/>
        <v/>
      </c>
      <c r="J70" s="859" t="str">
        <f>IFERROR(IF(F70="","",VLOOKUP(F70,'10. Condition and Temporal'!$B$6:$F$103,5,FALSE)), "Error ▲")</f>
        <v/>
      </c>
      <c r="K70" s="860"/>
      <c r="L70" s="287" t="str">
        <f t="shared" si="45"/>
        <v/>
      </c>
      <c r="M70" s="704" t="str">
        <f t="shared" si="46"/>
        <v/>
      </c>
      <c r="N70" s="858"/>
      <c r="O70" s="74"/>
      <c r="P70" s="12"/>
      <c r="R70" s="646"/>
      <c r="T70" s="181" t="str">
        <f t="shared" si="15"/>
        <v/>
      </c>
      <c r="U70" s="115" t="str">
        <f t="shared" si="47"/>
        <v/>
      </c>
      <c r="V70" s="116" t="str">
        <f t="shared" si="16"/>
        <v/>
      </c>
      <c r="W70" s="115" t="str">
        <f t="shared" si="16"/>
        <v/>
      </c>
      <c r="X70" s="95" t="str">
        <f t="shared" si="16"/>
        <v/>
      </c>
      <c r="Y70" s="347"/>
      <c r="Z70" s="347"/>
      <c r="AA70" s="347"/>
      <c r="AB70" s="95" t="str">
        <f t="shared" si="17"/>
        <v/>
      </c>
      <c r="AC70" s="117" t="str">
        <f t="shared" si="18"/>
        <v/>
      </c>
      <c r="AD70" s="116" t="str">
        <f t="shared" si="50"/>
        <v/>
      </c>
      <c r="AE70" s="183" t="str">
        <f t="shared" si="48"/>
        <v/>
      </c>
      <c r="AF70" s="114" t="str">
        <f t="shared" si="19"/>
        <v/>
      </c>
      <c r="AG70" s="115" t="str">
        <f>IF(D70="","",VLOOKUP(F70,'9. All Habitats + Multipliers'!$C$4:$K$102,5,FALSE))</f>
        <v/>
      </c>
      <c r="AH70" s="116" t="str">
        <f>IF(AG70="","",VLOOKUP(AG70,'11. Lists'!$S$47:$U$50,2,FALSE))</f>
        <v/>
      </c>
      <c r="AI70" s="114" t="str">
        <f t="shared" si="20"/>
        <v/>
      </c>
      <c r="AJ70" s="93" t="str">
        <f>IF(AI70="","",VLOOKUP(AI70,'11. Lists'!$F$47:$G$51,2,FALSE))</f>
        <v/>
      </c>
      <c r="AK70" s="347"/>
      <c r="AL70" s="347"/>
      <c r="AM70" s="347"/>
      <c r="AN70" s="94" t="str">
        <f t="shared" si="21"/>
        <v/>
      </c>
      <c r="AO70" s="118" t="str">
        <f>IF(AN70="","",VLOOKUP(AN70,'11. Lists'!$F$36:$H$38,2,FALSE))</f>
        <v/>
      </c>
      <c r="AP70" s="116" t="str">
        <f>IF(AN70="","",VLOOKUP(AN70,'11. Lists'!$F$36:$H$38,3,FALSE))</f>
        <v/>
      </c>
      <c r="AQ70" s="115" t="str">
        <f>IF(D70="","",IF(AX70="Distinctiveness","N/A",VLOOKUP(F70,'10. Condition and Temporal'!$B$6:$L$103,11,FALSE)))</f>
        <v/>
      </c>
      <c r="AR70" s="119" t="str">
        <f>IF(AQ70="","",IF(AQ70="N/A","1",VLOOKUP(AQ70,'11. Lists'!$I$47:$K$80,3,FALSE)))</f>
        <v/>
      </c>
      <c r="AS70" s="135" t="str">
        <f>IF(D70="","",IF(AX70="Condition","N/A",VLOOKUP(F70,'10. Condition and Temporal'!$B$6:$M$106,12,FALSE)))</f>
        <v/>
      </c>
      <c r="AT70" s="119" t="str">
        <f>IF(AS70="","",IF(AS70="N/A","1",VLOOKUP(AS70,'11. Lists'!$I$47:$K$80,3,FALSE)))</f>
        <v/>
      </c>
      <c r="AU70" s="118" t="str">
        <f>IF(D70="","",VLOOKUP(F70,'9. All Habitats + Multipliers'!$C$4:$K$102,8,FALSE))</f>
        <v/>
      </c>
      <c r="AV70" s="116" t="str">
        <f>IF(AU70="","",VLOOKUP(AU70,'11. Lists'!$J$35:$K$38,2,FALSE))</f>
        <v/>
      </c>
      <c r="AW70" s="115" t="str">
        <f>IF(D70="","",VLOOKUP(D70,'10. Condition and Temporal'!$B$6:$M$103,4,FALSE))</f>
        <v/>
      </c>
      <c r="AX70" s="116" t="str">
        <f t="shared" si="22"/>
        <v/>
      </c>
      <c r="AZ70" s="210"/>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8" t="str">
        <f t="shared" si="49"/>
        <v/>
      </c>
      <c r="BW70" s="95" t="s">
        <v>170</v>
      </c>
      <c r="BX70" s="95">
        <f>BF64</f>
        <v>0</v>
      </c>
    </row>
    <row r="71" spans="1:76" s="25" customFormat="1" ht="15.75" x14ac:dyDescent="0.25">
      <c r="B71" s="268">
        <v>6</v>
      </c>
      <c r="C71" s="120" t="str">
        <f t="shared" si="12"/>
        <v/>
      </c>
      <c r="D71" s="212" t="str">
        <f t="shared" si="43"/>
        <v/>
      </c>
      <c r="E71" s="170" t="str">
        <f t="shared" si="13"/>
        <v/>
      </c>
      <c r="F71" s="664"/>
      <c r="G71" s="665"/>
      <c r="H71" s="167" t="str">
        <f t="shared" si="14"/>
        <v/>
      </c>
      <c r="I71" s="324" t="str">
        <f t="shared" si="44"/>
        <v/>
      </c>
      <c r="J71" s="859" t="str">
        <f>IFERROR(IF(F71="","",VLOOKUP(F71,'10. Condition and Temporal'!$B$6:$F$103,5,FALSE)), "Error ▲")</f>
        <v/>
      </c>
      <c r="K71" s="860"/>
      <c r="L71" s="287" t="str">
        <f t="shared" si="45"/>
        <v/>
      </c>
      <c r="M71" s="704" t="str">
        <f t="shared" si="46"/>
        <v/>
      </c>
      <c r="N71" s="858"/>
      <c r="O71" s="74"/>
      <c r="P71" s="12"/>
      <c r="R71" s="646"/>
      <c r="T71" s="181" t="str">
        <f t="shared" si="15"/>
        <v/>
      </c>
      <c r="U71" s="115" t="str">
        <f t="shared" si="47"/>
        <v/>
      </c>
      <c r="V71" s="116" t="str">
        <f t="shared" si="16"/>
        <v/>
      </c>
      <c r="W71" s="115" t="str">
        <f t="shared" si="16"/>
        <v/>
      </c>
      <c r="X71" s="95" t="str">
        <f t="shared" si="16"/>
        <v/>
      </c>
      <c r="Y71" s="347"/>
      <c r="Z71" s="347"/>
      <c r="AA71" s="347"/>
      <c r="AB71" s="95" t="str">
        <f t="shared" si="17"/>
        <v/>
      </c>
      <c r="AC71" s="117" t="str">
        <f t="shared" si="18"/>
        <v/>
      </c>
      <c r="AD71" s="116" t="str">
        <f t="shared" si="50"/>
        <v/>
      </c>
      <c r="AE71" s="183" t="str">
        <f t="shared" si="48"/>
        <v/>
      </c>
      <c r="AF71" s="114" t="str">
        <f t="shared" si="19"/>
        <v/>
      </c>
      <c r="AG71" s="115" t="str">
        <f>IF(D71="","",VLOOKUP(F71,'9. All Habitats + Multipliers'!$C$4:$K$102,5,FALSE))</f>
        <v/>
      </c>
      <c r="AH71" s="116" t="str">
        <f>IF(AG71="","",VLOOKUP(AG71,'11. Lists'!$S$47:$U$50,2,FALSE))</f>
        <v/>
      </c>
      <c r="AI71" s="114" t="str">
        <f t="shared" si="20"/>
        <v/>
      </c>
      <c r="AJ71" s="93" t="str">
        <f>IF(AI71="","",VLOOKUP(AI71,'11. Lists'!$F$47:$G$51,2,FALSE))</f>
        <v/>
      </c>
      <c r="AK71" s="347"/>
      <c r="AL71" s="347"/>
      <c r="AM71" s="347"/>
      <c r="AN71" s="94" t="str">
        <f t="shared" si="21"/>
        <v/>
      </c>
      <c r="AO71" s="118" t="str">
        <f>IF(AN71="","",VLOOKUP(AN71,'11. Lists'!$F$36:$H$38,2,FALSE))</f>
        <v/>
      </c>
      <c r="AP71" s="116" t="str">
        <f>IF(AN71="","",VLOOKUP(AN71,'11. Lists'!$F$36:$H$38,3,FALSE))</f>
        <v/>
      </c>
      <c r="AQ71" s="115" t="str">
        <f>IF(D71="","",IF(AX71="Distinctiveness","N/A",VLOOKUP(F71,'10. Condition and Temporal'!$B$6:$L$103,11,FALSE)))</f>
        <v/>
      </c>
      <c r="AR71" s="119" t="str">
        <f>IF(AQ71="","",IF(AQ71="N/A","1",VLOOKUP(AQ71,'11. Lists'!$I$47:$K$80,3,FALSE)))</f>
        <v/>
      </c>
      <c r="AS71" s="135" t="str">
        <f>IF(D71="","",IF(AX71="Condition","N/A",VLOOKUP(F71,'10. Condition and Temporal'!$B$6:$M$106,12,FALSE)))</f>
        <v/>
      </c>
      <c r="AT71" s="119" t="str">
        <f>IF(AS71="","",IF(AS71="N/A","1",VLOOKUP(AS71,'11. Lists'!$I$47:$K$80,3,FALSE)))</f>
        <v/>
      </c>
      <c r="AU71" s="118" t="str">
        <f>IF(D71="","",VLOOKUP(F71,'9. All Habitats + Multipliers'!$C$4:$K$102,8,FALSE))</f>
        <v/>
      </c>
      <c r="AV71" s="116" t="str">
        <f>IF(AU71="","",VLOOKUP(AU71,'11. Lists'!$J$35:$K$38,2,FALSE))</f>
        <v/>
      </c>
      <c r="AW71" s="115" t="str">
        <f>IF(D71="","",VLOOKUP(D71,'10. Condition and Temporal'!$B$6:$M$103,4,FALSE))</f>
        <v/>
      </c>
      <c r="AX71" s="116" t="str">
        <f t="shared" si="22"/>
        <v/>
      </c>
      <c r="AZ71" s="210"/>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8" t="str">
        <f t="shared" si="49"/>
        <v/>
      </c>
      <c r="BW71" s="95" t="s">
        <v>171</v>
      </c>
      <c r="BX71" s="95">
        <f>BG64</f>
        <v>0</v>
      </c>
    </row>
    <row r="72" spans="1:76" s="25" customFormat="1" ht="15.75" x14ac:dyDescent="0.25">
      <c r="B72" s="268">
        <v>7</v>
      </c>
      <c r="C72" s="120" t="str">
        <f t="shared" si="12"/>
        <v/>
      </c>
      <c r="D72" s="212" t="str">
        <f t="shared" si="43"/>
        <v/>
      </c>
      <c r="E72" s="170" t="str">
        <f t="shared" si="13"/>
        <v/>
      </c>
      <c r="F72" s="664"/>
      <c r="G72" s="665"/>
      <c r="H72" s="167" t="str">
        <f t="shared" si="14"/>
        <v/>
      </c>
      <c r="I72" s="324" t="str">
        <f t="shared" si="44"/>
        <v/>
      </c>
      <c r="J72" s="859" t="str">
        <f>IFERROR(IF(F72="","",VLOOKUP(F72,'10. Condition and Temporal'!$B$6:$F$103,5,FALSE)), "Error ▲")</f>
        <v/>
      </c>
      <c r="K72" s="860"/>
      <c r="L72" s="287" t="str">
        <f t="shared" si="45"/>
        <v/>
      </c>
      <c r="M72" s="704" t="str">
        <f t="shared" si="46"/>
        <v/>
      </c>
      <c r="N72" s="858"/>
      <c r="O72" s="74"/>
      <c r="P72" s="12"/>
      <c r="R72" s="646"/>
      <c r="T72" s="181" t="str">
        <f t="shared" si="15"/>
        <v/>
      </c>
      <c r="U72" s="115" t="str">
        <f t="shared" si="47"/>
        <v/>
      </c>
      <c r="V72" s="116" t="str">
        <f t="shared" si="16"/>
        <v/>
      </c>
      <c r="W72" s="115" t="str">
        <f t="shared" si="16"/>
        <v/>
      </c>
      <c r="X72" s="95" t="str">
        <f t="shared" si="16"/>
        <v/>
      </c>
      <c r="Y72" s="347"/>
      <c r="Z72" s="347"/>
      <c r="AA72" s="347"/>
      <c r="AB72" s="95" t="str">
        <f t="shared" si="17"/>
        <v/>
      </c>
      <c r="AC72" s="117" t="str">
        <f t="shared" si="18"/>
        <v/>
      </c>
      <c r="AD72" s="116" t="str">
        <f t="shared" si="50"/>
        <v/>
      </c>
      <c r="AE72" s="183" t="str">
        <f t="shared" si="48"/>
        <v/>
      </c>
      <c r="AF72" s="114" t="str">
        <f t="shared" si="19"/>
        <v/>
      </c>
      <c r="AG72" s="115" t="str">
        <f>IF(D72="","",VLOOKUP(F72,'9. All Habitats + Multipliers'!$C$4:$K$102,5,FALSE))</f>
        <v/>
      </c>
      <c r="AH72" s="116" t="str">
        <f>IF(AG72="","",VLOOKUP(AG72,'11. Lists'!$S$47:$U$50,2,FALSE))</f>
        <v/>
      </c>
      <c r="AI72" s="114" t="str">
        <f t="shared" si="20"/>
        <v/>
      </c>
      <c r="AJ72" s="93" t="str">
        <f>IF(AI72="","",VLOOKUP(AI72,'11. Lists'!$F$47:$G$51,2,FALSE))</f>
        <v/>
      </c>
      <c r="AK72" s="347"/>
      <c r="AL72" s="347"/>
      <c r="AM72" s="347"/>
      <c r="AN72" s="94" t="str">
        <f t="shared" si="21"/>
        <v/>
      </c>
      <c r="AO72" s="118" t="str">
        <f>IF(AN72="","",VLOOKUP(AN72,'11. Lists'!$F$36:$H$38,2,FALSE))</f>
        <v/>
      </c>
      <c r="AP72" s="116" t="str">
        <f>IF(AN72="","",VLOOKUP(AN72,'11. Lists'!$F$36:$H$38,3,FALSE))</f>
        <v/>
      </c>
      <c r="AQ72" s="115" t="str">
        <f>IF(D72="","",IF(AX72="Distinctiveness","N/A",VLOOKUP(F72,'10. Condition and Temporal'!$B$6:$L$103,11,FALSE)))</f>
        <v/>
      </c>
      <c r="AR72" s="119" t="str">
        <f>IF(AQ72="","",IF(AQ72="N/A","1",VLOOKUP(AQ72,'11. Lists'!$I$47:$K$80,3,FALSE)))</f>
        <v/>
      </c>
      <c r="AS72" s="135" t="str">
        <f>IF(D72="","",IF(AX72="Condition","N/A",VLOOKUP(F72,'10. Condition and Temporal'!$B$6:$M$106,12,FALSE)))</f>
        <v/>
      </c>
      <c r="AT72" s="119" t="str">
        <f>IF(AS72="","",IF(AS72="N/A","1",VLOOKUP(AS72,'11. Lists'!$I$47:$K$80,3,FALSE)))</f>
        <v/>
      </c>
      <c r="AU72" s="118" t="str">
        <f>IF(D72="","",VLOOKUP(F72,'9. All Habitats + Multipliers'!$C$4:$K$102,8,FALSE))</f>
        <v/>
      </c>
      <c r="AV72" s="116" t="str">
        <f>IF(AU72="","",VLOOKUP(AU72,'11. Lists'!$J$35:$K$38,2,FALSE))</f>
        <v/>
      </c>
      <c r="AW72" s="115" t="str">
        <f>IF(D72="","",VLOOKUP(D72,'10. Condition and Temporal'!$B$6:$M$103,4,FALSE))</f>
        <v/>
      </c>
      <c r="AX72" s="116" t="str">
        <f t="shared" si="22"/>
        <v/>
      </c>
      <c r="AZ72" s="210"/>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8" t="str">
        <f t="shared" si="49"/>
        <v/>
      </c>
      <c r="BW72" s="95" t="s">
        <v>172</v>
      </c>
      <c r="BX72" s="95">
        <f>BH64</f>
        <v>0</v>
      </c>
    </row>
    <row r="73" spans="1:76" s="25" customFormat="1" ht="15.75" x14ac:dyDescent="0.25">
      <c r="B73" s="268">
        <v>8</v>
      </c>
      <c r="C73" s="120" t="str">
        <f t="shared" si="12"/>
        <v/>
      </c>
      <c r="D73" s="212" t="str">
        <f t="shared" si="43"/>
        <v/>
      </c>
      <c r="E73" s="170" t="str">
        <f t="shared" si="13"/>
        <v/>
      </c>
      <c r="F73" s="664"/>
      <c r="G73" s="665"/>
      <c r="H73" s="167" t="str">
        <f t="shared" si="14"/>
        <v/>
      </c>
      <c r="I73" s="324" t="str">
        <f t="shared" si="44"/>
        <v/>
      </c>
      <c r="J73" s="859" t="str">
        <f>IFERROR(IF(F73="","",VLOOKUP(F73,'10. Condition and Temporal'!$B$6:$F$103,5,FALSE)), "Error ▲")</f>
        <v/>
      </c>
      <c r="K73" s="860"/>
      <c r="L73" s="287" t="str">
        <f t="shared" si="45"/>
        <v/>
      </c>
      <c r="M73" s="704" t="str">
        <f t="shared" si="46"/>
        <v/>
      </c>
      <c r="N73" s="858"/>
      <c r="O73" s="74"/>
      <c r="P73" s="12"/>
      <c r="R73" s="646"/>
      <c r="T73" s="181" t="str">
        <f t="shared" si="15"/>
        <v/>
      </c>
      <c r="U73" s="115" t="str">
        <f t="shared" si="47"/>
        <v/>
      </c>
      <c r="V73" s="116" t="str">
        <f t="shared" si="16"/>
        <v/>
      </c>
      <c r="W73" s="115" t="str">
        <f t="shared" si="16"/>
        <v/>
      </c>
      <c r="X73" s="95" t="str">
        <f t="shared" si="16"/>
        <v/>
      </c>
      <c r="Y73" s="347"/>
      <c r="Z73" s="347"/>
      <c r="AA73" s="347"/>
      <c r="AB73" s="95" t="str">
        <f t="shared" si="17"/>
        <v/>
      </c>
      <c r="AC73" s="117" t="str">
        <f t="shared" si="18"/>
        <v/>
      </c>
      <c r="AD73" s="116" t="str">
        <f t="shared" si="50"/>
        <v/>
      </c>
      <c r="AE73" s="183" t="str">
        <f t="shared" si="48"/>
        <v/>
      </c>
      <c r="AF73" s="114" t="str">
        <f t="shared" si="19"/>
        <v/>
      </c>
      <c r="AG73" s="115" t="str">
        <f>IF(D73="","",VLOOKUP(F73,'9. All Habitats + Multipliers'!$C$4:$K$102,5,FALSE))</f>
        <v/>
      </c>
      <c r="AH73" s="116" t="str">
        <f>IF(AG73="","",VLOOKUP(AG73,'11. Lists'!$S$47:$U$50,2,FALSE))</f>
        <v/>
      </c>
      <c r="AI73" s="114" t="str">
        <f t="shared" si="20"/>
        <v/>
      </c>
      <c r="AJ73" s="93" t="str">
        <f>IF(AI73="","",VLOOKUP(AI73,'11. Lists'!$F$47:$G$51,2,FALSE))</f>
        <v/>
      </c>
      <c r="AK73" s="347"/>
      <c r="AL73" s="347"/>
      <c r="AM73" s="347"/>
      <c r="AN73" s="94" t="str">
        <f t="shared" si="21"/>
        <v/>
      </c>
      <c r="AO73" s="118" t="str">
        <f>IF(AN73="","",VLOOKUP(AN73,'11. Lists'!$F$36:$H$38,2,FALSE))</f>
        <v/>
      </c>
      <c r="AP73" s="116" t="str">
        <f>IF(AN73="","",VLOOKUP(AN73,'11. Lists'!$F$36:$H$38,3,FALSE))</f>
        <v/>
      </c>
      <c r="AQ73" s="115" t="str">
        <f>IF(D73="","",IF(AX73="Distinctiveness","N/A",VLOOKUP(F73,'10. Condition and Temporal'!$B$6:$L$103,11,FALSE)))</f>
        <v/>
      </c>
      <c r="AR73" s="119" t="str">
        <f>IF(AQ73="","",IF(AQ73="N/A","1",VLOOKUP(AQ73,'11. Lists'!$I$47:$K$80,3,FALSE)))</f>
        <v/>
      </c>
      <c r="AS73" s="135" t="str">
        <f>IF(D73="","",IF(AX73="Condition","N/A",VLOOKUP(F73,'10. Condition and Temporal'!$B$6:$M$106,12,FALSE)))</f>
        <v/>
      </c>
      <c r="AT73" s="119" t="str">
        <f>IF(AS73="","",IF(AS73="N/A","1",VLOOKUP(AS73,'11. Lists'!$I$47:$K$80,3,FALSE)))</f>
        <v/>
      </c>
      <c r="AU73" s="118" t="str">
        <f>IF(D73="","",VLOOKUP(F73,'9. All Habitats + Multipliers'!$C$4:$K$102,8,FALSE))</f>
        <v/>
      </c>
      <c r="AV73" s="116" t="str">
        <f>IF(AU73="","",VLOOKUP(AU73,'11. Lists'!$J$35:$K$38,2,FALSE))</f>
        <v/>
      </c>
      <c r="AW73" s="115" t="str">
        <f>IF(D73="","",VLOOKUP(D73,'10. Condition and Temporal'!$B$6:$M$103,4,FALSE))</f>
        <v/>
      </c>
      <c r="AX73" s="116" t="str">
        <f t="shared" si="22"/>
        <v/>
      </c>
      <c r="AZ73" s="210"/>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8" t="str">
        <f t="shared" si="49"/>
        <v/>
      </c>
      <c r="BW73" s="95" t="s">
        <v>173</v>
      </c>
      <c r="BX73" s="95">
        <f>BI64</f>
        <v>0</v>
      </c>
    </row>
    <row r="74" spans="1:76" s="25" customFormat="1" ht="15.75" x14ac:dyDescent="0.25">
      <c r="B74" s="268">
        <v>9</v>
      </c>
      <c r="C74" s="120" t="str">
        <f t="shared" si="12"/>
        <v/>
      </c>
      <c r="D74" s="212" t="str">
        <f t="shared" si="43"/>
        <v/>
      </c>
      <c r="E74" s="170" t="str">
        <f t="shared" si="13"/>
        <v/>
      </c>
      <c r="F74" s="664"/>
      <c r="G74" s="665"/>
      <c r="H74" s="167" t="str">
        <f t="shared" si="14"/>
        <v/>
      </c>
      <c r="I74" s="324" t="str">
        <f t="shared" si="44"/>
        <v/>
      </c>
      <c r="J74" s="859" t="str">
        <f>IFERROR(IF(F74="","",VLOOKUP(F74,'10. Condition and Temporal'!$B$6:$F$103,5,FALSE)), "Error ▲")</f>
        <v/>
      </c>
      <c r="K74" s="860"/>
      <c r="L74" s="287" t="str">
        <f t="shared" si="45"/>
        <v/>
      </c>
      <c r="M74" s="704" t="str">
        <f t="shared" si="46"/>
        <v/>
      </c>
      <c r="N74" s="858"/>
      <c r="O74" s="74"/>
      <c r="P74" s="12"/>
      <c r="R74" s="646"/>
      <c r="T74" s="181" t="str">
        <f t="shared" si="15"/>
        <v/>
      </c>
      <c r="U74" s="115" t="str">
        <f t="shared" si="47"/>
        <v/>
      </c>
      <c r="V74" s="116" t="str">
        <f t="shared" si="16"/>
        <v/>
      </c>
      <c r="W74" s="115" t="str">
        <f t="shared" si="16"/>
        <v/>
      </c>
      <c r="X74" s="95" t="str">
        <f t="shared" si="16"/>
        <v/>
      </c>
      <c r="Y74" s="347"/>
      <c r="Z74" s="347"/>
      <c r="AA74" s="347"/>
      <c r="AB74" s="95" t="str">
        <f t="shared" si="17"/>
        <v/>
      </c>
      <c r="AC74" s="117" t="str">
        <f t="shared" si="18"/>
        <v/>
      </c>
      <c r="AD74" s="116" t="str">
        <f t="shared" si="50"/>
        <v/>
      </c>
      <c r="AE74" s="183" t="str">
        <f t="shared" si="48"/>
        <v/>
      </c>
      <c r="AF74" s="114" t="str">
        <f t="shared" si="19"/>
        <v/>
      </c>
      <c r="AG74" s="115" t="str">
        <f>IF(D74="","",VLOOKUP(F74,'9. All Habitats + Multipliers'!$C$4:$K$102,5,FALSE))</f>
        <v/>
      </c>
      <c r="AH74" s="116" t="str">
        <f>IF(AG74="","",VLOOKUP(AG74,'11. Lists'!$S$47:$U$50,2,FALSE))</f>
        <v/>
      </c>
      <c r="AI74" s="114" t="str">
        <f t="shared" si="20"/>
        <v/>
      </c>
      <c r="AJ74" s="93" t="str">
        <f>IF(AI74="","",VLOOKUP(AI74,'11. Lists'!$F$47:$G$51,2,FALSE))</f>
        <v/>
      </c>
      <c r="AK74" s="347"/>
      <c r="AL74" s="347"/>
      <c r="AM74" s="347"/>
      <c r="AN74" s="94" t="str">
        <f t="shared" si="21"/>
        <v/>
      </c>
      <c r="AO74" s="118" t="str">
        <f>IF(AN74="","",VLOOKUP(AN74,'11. Lists'!$F$36:$H$38,2,FALSE))</f>
        <v/>
      </c>
      <c r="AP74" s="116" t="str">
        <f>IF(AN74="","",VLOOKUP(AN74,'11. Lists'!$F$36:$H$38,3,FALSE))</f>
        <v/>
      </c>
      <c r="AQ74" s="115" t="str">
        <f>IF(D74="","",IF(AX74="Distinctiveness","N/A",VLOOKUP(F74,'10. Condition and Temporal'!$B$6:$L$103,11,FALSE)))</f>
        <v/>
      </c>
      <c r="AR74" s="119" t="str">
        <f>IF(AQ74="","",IF(AQ74="N/A","1",VLOOKUP(AQ74,'11. Lists'!$I$47:$K$80,3,FALSE)))</f>
        <v/>
      </c>
      <c r="AS74" s="135" t="str">
        <f>IF(D74="","",IF(AX74="Condition","N/A",VLOOKUP(F74,'10. Condition and Temporal'!$B$6:$M$106,12,FALSE)))</f>
        <v/>
      </c>
      <c r="AT74" s="119" t="str">
        <f>IF(AS74="","",IF(AS74="N/A","1",VLOOKUP(AS74,'11. Lists'!$I$47:$K$80,3,FALSE)))</f>
        <v/>
      </c>
      <c r="AU74" s="118" t="str">
        <f>IF(D74="","",VLOOKUP(F74,'9. All Habitats + Multipliers'!$C$4:$K$102,8,FALSE))</f>
        <v/>
      </c>
      <c r="AV74" s="116" t="str">
        <f>IF(AU74="","",VLOOKUP(AU74,'11. Lists'!$J$35:$K$38,2,FALSE))</f>
        <v/>
      </c>
      <c r="AW74" s="115" t="str">
        <f>IF(D74="","",VLOOKUP(D74,'10. Condition and Temporal'!$B$6:$M$103,4,FALSE))</f>
        <v/>
      </c>
      <c r="AX74" s="116" t="str">
        <f t="shared" si="22"/>
        <v/>
      </c>
      <c r="AZ74" s="210"/>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8" t="str">
        <f t="shared" si="49"/>
        <v/>
      </c>
      <c r="BW74" s="95" t="s">
        <v>174</v>
      </c>
      <c r="BX74" s="95">
        <f>BJ64</f>
        <v>0</v>
      </c>
    </row>
    <row r="75" spans="1:76" s="25" customFormat="1" ht="15.75" x14ac:dyDescent="0.25">
      <c r="B75" s="268">
        <v>10</v>
      </c>
      <c r="C75" s="120" t="str">
        <f t="shared" si="12"/>
        <v/>
      </c>
      <c r="D75" s="212" t="str">
        <f t="shared" si="43"/>
        <v/>
      </c>
      <c r="E75" s="170" t="str">
        <f t="shared" si="13"/>
        <v/>
      </c>
      <c r="F75" s="664"/>
      <c r="G75" s="665"/>
      <c r="H75" s="167" t="str">
        <f t="shared" si="14"/>
        <v/>
      </c>
      <c r="I75" s="324" t="str">
        <f t="shared" si="44"/>
        <v/>
      </c>
      <c r="J75" s="859" t="str">
        <f>IFERROR(IF(F75="","",VLOOKUP(F75,'10. Condition and Temporal'!$B$6:$F$103,5,FALSE)), "Error ▲")</f>
        <v/>
      </c>
      <c r="K75" s="860"/>
      <c r="L75" s="287" t="str">
        <f t="shared" si="45"/>
        <v/>
      </c>
      <c r="M75" s="704" t="str">
        <f t="shared" si="46"/>
        <v/>
      </c>
      <c r="N75" s="858"/>
      <c r="O75" s="74"/>
      <c r="P75" s="12"/>
      <c r="R75" s="646"/>
      <c r="T75" s="181" t="str">
        <f t="shared" si="15"/>
        <v/>
      </c>
      <c r="U75" s="115" t="str">
        <f t="shared" si="47"/>
        <v/>
      </c>
      <c r="V75" s="116" t="str">
        <f t="shared" si="16"/>
        <v/>
      </c>
      <c r="W75" s="115" t="str">
        <f t="shared" si="16"/>
        <v/>
      </c>
      <c r="X75" s="95" t="str">
        <f t="shared" si="16"/>
        <v/>
      </c>
      <c r="Y75" s="347"/>
      <c r="Z75" s="347"/>
      <c r="AA75" s="347"/>
      <c r="AB75" s="95" t="str">
        <f t="shared" si="17"/>
        <v/>
      </c>
      <c r="AC75" s="117" t="str">
        <f t="shared" si="18"/>
        <v/>
      </c>
      <c r="AD75" s="116" t="str">
        <f t="shared" si="50"/>
        <v/>
      </c>
      <c r="AE75" s="183" t="str">
        <f t="shared" si="48"/>
        <v/>
      </c>
      <c r="AF75" s="114" t="str">
        <f t="shared" si="19"/>
        <v/>
      </c>
      <c r="AG75" s="115" t="str">
        <f>IF(D75="","",VLOOKUP(F75,'9. All Habitats + Multipliers'!$C$4:$K$102,5,FALSE))</f>
        <v/>
      </c>
      <c r="AH75" s="116" t="str">
        <f>IF(AG75="","",VLOOKUP(AG75,'11. Lists'!$S$47:$U$50,2,FALSE))</f>
        <v/>
      </c>
      <c r="AI75" s="114" t="str">
        <f t="shared" si="20"/>
        <v/>
      </c>
      <c r="AJ75" s="93" t="str">
        <f>IF(AI75="","",VLOOKUP(AI75,'11. Lists'!$F$47:$G$51,2,FALSE))</f>
        <v/>
      </c>
      <c r="AK75" s="347"/>
      <c r="AL75" s="347"/>
      <c r="AM75" s="347"/>
      <c r="AN75" s="94" t="str">
        <f t="shared" si="21"/>
        <v/>
      </c>
      <c r="AO75" s="118" t="str">
        <f>IF(AN75="","",VLOOKUP(AN75,'11. Lists'!$F$36:$H$38,2,FALSE))</f>
        <v/>
      </c>
      <c r="AP75" s="116" t="str">
        <f>IF(AN75="","",VLOOKUP(AN75,'11. Lists'!$F$36:$H$38,3,FALSE))</f>
        <v/>
      </c>
      <c r="AQ75" s="115" t="str">
        <f>IF(D75="","",IF(AX75="Distinctiveness","N/A",VLOOKUP(F75,'10. Condition and Temporal'!$B$6:$L$103,11,FALSE)))</f>
        <v/>
      </c>
      <c r="AR75" s="119" t="str">
        <f>IF(AQ75="","",IF(AQ75="N/A","1",VLOOKUP(AQ75,'11. Lists'!$I$47:$K$80,3,FALSE)))</f>
        <v/>
      </c>
      <c r="AS75" s="135" t="str">
        <f>IF(D75="","",IF(AX75="Condition","N/A",VLOOKUP(F75,'10. Condition and Temporal'!$B$6:$M$106,12,FALSE)))</f>
        <v/>
      </c>
      <c r="AT75" s="119" t="str">
        <f>IF(AS75="","",IF(AS75="N/A","1",VLOOKUP(AS75,'11. Lists'!$I$47:$K$80,3,FALSE)))</f>
        <v/>
      </c>
      <c r="AU75" s="118" t="str">
        <f>IF(D75="","",VLOOKUP(F75,'9. All Habitats + Multipliers'!$C$4:$K$102,8,FALSE))</f>
        <v/>
      </c>
      <c r="AV75" s="116" t="str">
        <f>IF(AU75="","",VLOOKUP(AU75,'11. Lists'!$J$35:$K$38,2,FALSE))</f>
        <v/>
      </c>
      <c r="AW75" s="115" t="str">
        <f>IF(D75="","",VLOOKUP(D75,'10. Condition and Temporal'!$B$6:$M$103,4,FALSE))</f>
        <v/>
      </c>
      <c r="AX75" s="116" t="str">
        <f t="shared" si="22"/>
        <v/>
      </c>
      <c r="AZ75" s="210"/>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8" t="str">
        <f t="shared" si="49"/>
        <v/>
      </c>
      <c r="BW75" s="95" t="s">
        <v>175</v>
      </c>
      <c r="BX75" s="95">
        <f>BK64</f>
        <v>0</v>
      </c>
    </row>
    <row r="76" spans="1:76" s="25" customFormat="1" ht="15.75" x14ac:dyDescent="0.25">
      <c r="B76" s="268">
        <v>11</v>
      </c>
      <c r="C76" s="120" t="str">
        <f t="shared" si="12"/>
        <v/>
      </c>
      <c r="D76" s="212" t="str">
        <f t="shared" si="43"/>
        <v/>
      </c>
      <c r="E76" s="170" t="str">
        <f t="shared" si="13"/>
        <v/>
      </c>
      <c r="F76" s="664"/>
      <c r="G76" s="665"/>
      <c r="H76" s="167" t="str">
        <f t="shared" si="14"/>
        <v/>
      </c>
      <c r="I76" s="324" t="str">
        <f t="shared" si="44"/>
        <v/>
      </c>
      <c r="J76" s="859" t="str">
        <f>IFERROR(IF(F76="","",VLOOKUP(F76,'10. Condition and Temporal'!$B$6:$F$103,5,FALSE)), "Error ▲")</f>
        <v/>
      </c>
      <c r="K76" s="860"/>
      <c r="L76" s="287" t="str">
        <f t="shared" si="45"/>
        <v/>
      </c>
      <c r="M76" s="704" t="str">
        <f t="shared" si="46"/>
        <v/>
      </c>
      <c r="N76" s="858"/>
      <c r="O76" s="74"/>
      <c r="P76" s="12"/>
      <c r="R76" s="646"/>
      <c r="T76" s="181" t="str">
        <f t="shared" si="15"/>
        <v/>
      </c>
      <c r="U76" s="115" t="str">
        <f t="shared" si="47"/>
        <v/>
      </c>
      <c r="V76" s="116" t="str">
        <f t="shared" si="16"/>
        <v/>
      </c>
      <c r="W76" s="115" t="str">
        <f t="shared" si="16"/>
        <v/>
      </c>
      <c r="X76" s="95" t="str">
        <f t="shared" si="16"/>
        <v/>
      </c>
      <c r="Y76" s="347"/>
      <c r="Z76" s="347"/>
      <c r="AA76" s="347"/>
      <c r="AB76" s="95" t="str">
        <f t="shared" si="17"/>
        <v/>
      </c>
      <c r="AC76" s="117" t="str">
        <f t="shared" si="18"/>
        <v/>
      </c>
      <c r="AD76" s="116" t="str">
        <f t="shared" si="50"/>
        <v/>
      </c>
      <c r="AE76" s="183" t="str">
        <f t="shared" si="48"/>
        <v/>
      </c>
      <c r="AF76" s="114" t="str">
        <f t="shared" si="19"/>
        <v/>
      </c>
      <c r="AG76" s="115" t="str">
        <f>IF(D76="","",VLOOKUP(F76,'9. All Habitats + Multipliers'!$C$4:$K$102,5,FALSE))</f>
        <v/>
      </c>
      <c r="AH76" s="116" t="str">
        <f>IF(AG76="","",VLOOKUP(AG76,'11. Lists'!$S$47:$U$50,2,FALSE))</f>
        <v/>
      </c>
      <c r="AI76" s="114" t="str">
        <f t="shared" si="20"/>
        <v/>
      </c>
      <c r="AJ76" s="93" t="str">
        <f>IF(AI76="","",VLOOKUP(AI76,'11. Lists'!$F$47:$G$51,2,FALSE))</f>
        <v/>
      </c>
      <c r="AK76" s="347"/>
      <c r="AL76" s="347"/>
      <c r="AM76" s="347"/>
      <c r="AN76" s="94" t="str">
        <f t="shared" si="21"/>
        <v/>
      </c>
      <c r="AO76" s="118" t="str">
        <f>IF(AN76="","",VLOOKUP(AN76,'11. Lists'!$F$36:$H$38,2,FALSE))</f>
        <v/>
      </c>
      <c r="AP76" s="116" t="str">
        <f>IF(AN76="","",VLOOKUP(AN76,'11. Lists'!$F$36:$H$38,3,FALSE))</f>
        <v/>
      </c>
      <c r="AQ76" s="115" t="str">
        <f>IF(D76="","",IF(AX76="Distinctiveness","N/A",VLOOKUP(F76,'10. Condition and Temporal'!$B$6:$L$103,11,FALSE)))</f>
        <v/>
      </c>
      <c r="AR76" s="119" t="str">
        <f>IF(AQ76="","",IF(AQ76="N/A","1",VLOOKUP(AQ76,'11. Lists'!$I$47:$K$80,3,FALSE)))</f>
        <v/>
      </c>
      <c r="AS76" s="135" t="str">
        <f>IF(D76="","",IF(AX76="Condition","N/A",VLOOKUP(F76,'10. Condition and Temporal'!$B$6:$M$106,12,FALSE)))</f>
        <v/>
      </c>
      <c r="AT76" s="119" t="str">
        <f>IF(AS76="","",IF(AS76="N/A","1",VLOOKUP(AS76,'11. Lists'!$I$47:$K$80,3,FALSE)))</f>
        <v/>
      </c>
      <c r="AU76" s="118" t="str">
        <f>IF(D76="","",VLOOKUP(F76,'9. All Habitats + Multipliers'!$C$4:$K$102,8,FALSE))</f>
        <v/>
      </c>
      <c r="AV76" s="116" t="str">
        <f>IF(AU76="","",VLOOKUP(AU76,'11. Lists'!$J$35:$K$38,2,FALSE))</f>
        <v/>
      </c>
      <c r="AW76" s="115" t="str">
        <f>IF(D76="","",VLOOKUP(D76,'10. Condition and Temporal'!$B$6:$M$103,4,FALSE))</f>
        <v/>
      </c>
      <c r="AX76" s="116" t="str">
        <f t="shared" si="22"/>
        <v/>
      </c>
      <c r="AZ76" s="210"/>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8" t="str">
        <f t="shared" si="49"/>
        <v/>
      </c>
      <c r="BW76" s="95" t="s">
        <v>176</v>
      </c>
      <c r="BX76" s="95">
        <f>BL64</f>
        <v>0</v>
      </c>
    </row>
    <row r="77" spans="1:76" s="25" customFormat="1" ht="15.75" x14ac:dyDescent="0.25">
      <c r="B77" s="268">
        <v>12</v>
      </c>
      <c r="C77" s="120" t="str">
        <f t="shared" si="12"/>
        <v/>
      </c>
      <c r="D77" s="212" t="str">
        <f t="shared" si="43"/>
        <v/>
      </c>
      <c r="E77" s="170" t="str">
        <f t="shared" si="13"/>
        <v/>
      </c>
      <c r="F77" s="664"/>
      <c r="G77" s="665"/>
      <c r="H77" s="167" t="str">
        <f t="shared" si="14"/>
        <v/>
      </c>
      <c r="I77" s="324" t="str">
        <f t="shared" si="44"/>
        <v/>
      </c>
      <c r="J77" s="859" t="str">
        <f>IFERROR(IF(F77="","",VLOOKUP(F77,'10. Condition and Temporal'!$B$6:$F$103,5,FALSE)), "Error ▲")</f>
        <v/>
      </c>
      <c r="K77" s="860"/>
      <c r="L77" s="287" t="str">
        <f t="shared" si="45"/>
        <v/>
      </c>
      <c r="M77" s="704" t="str">
        <f t="shared" si="46"/>
        <v/>
      </c>
      <c r="N77" s="858"/>
      <c r="O77" s="74"/>
      <c r="P77" s="12"/>
      <c r="R77" s="646"/>
      <c r="T77" s="181" t="str">
        <f t="shared" si="15"/>
        <v/>
      </c>
      <c r="U77" s="115" t="str">
        <f t="shared" si="47"/>
        <v/>
      </c>
      <c r="V77" s="116" t="str">
        <f t="shared" si="16"/>
        <v/>
      </c>
      <c r="W77" s="115" t="str">
        <f t="shared" si="16"/>
        <v/>
      </c>
      <c r="X77" s="95" t="str">
        <f t="shared" si="16"/>
        <v/>
      </c>
      <c r="Y77" s="347"/>
      <c r="Z77" s="347"/>
      <c r="AA77" s="347"/>
      <c r="AB77" s="95" t="str">
        <f t="shared" si="17"/>
        <v/>
      </c>
      <c r="AC77" s="117" t="str">
        <f t="shared" si="18"/>
        <v/>
      </c>
      <c r="AD77" s="116" t="str">
        <f t="shared" si="50"/>
        <v/>
      </c>
      <c r="AE77" s="183" t="str">
        <f t="shared" si="48"/>
        <v/>
      </c>
      <c r="AF77" s="114" t="str">
        <f t="shared" si="19"/>
        <v/>
      </c>
      <c r="AG77" s="115" t="str">
        <f>IF(D77="","",VLOOKUP(F77,'9. All Habitats + Multipliers'!$C$4:$K$102,5,FALSE))</f>
        <v/>
      </c>
      <c r="AH77" s="116" t="str">
        <f>IF(AG77="","",VLOOKUP(AG77,'11. Lists'!$S$47:$U$50,2,FALSE))</f>
        <v/>
      </c>
      <c r="AI77" s="114" t="str">
        <f t="shared" si="20"/>
        <v/>
      </c>
      <c r="AJ77" s="93" t="str">
        <f>IF(AI77="","",VLOOKUP(AI77,'11. Lists'!$F$47:$G$51,2,FALSE))</f>
        <v/>
      </c>
      <c r="AK77" s="347"/>
      <c r="AL77" s="347"/>
      <c r="AM77" s="347"/>
      <c r="AN77" s="94" t="str">
        <f t="shared" si="21"/>
        <v/>
      </c>
      <c r="AO77" s="118" t="str">
        <f>IF(AN77="","",VLOOKUP(AN77,'11. Lists'!$F$36:$H$38,2,FALSE))</f>
        <v/>
      </c>
      <c r="AP77" s="116" t="str">
        <f>IF(AN77="","",VLOOKUP(AN77,'11. Lists'!$F$36:$H$38,3,FALSE))</f>
        <v/>
      </c>
      <c r="AQ77" s="115" t="str">
        <f>IF(D77="","",IF(AX77="Distinctiveness","N/A",VLOOKUP(F77,'10. Condition and Temporal'!$B$6:$L$103,11,FALSE)))</f>
        <v/>
      </c>
      <c r="AR77" s="119" t="str">
        <f>IF(AQ77="","",IF(AQ77="N/A","1",VLOOKUP(AQ77,'11. Lists'!$I$47:$K$80,3,FALSE)))</f>
        <v/>
      </c>
      <c r="AS77" s="135" t="str">
        <f>IF(D77="","",IF(AX77="Condition","N/A",VLOOKUP(F77,'10. Condition and Temporal'!$B$6:$M$106,12,FALSE)))</f>
        <v/>
      </c>
      <c r="AT77" s="119" t="str">
        <f>IF(AS77="","",IF(AS77="N/A","1",VLOOKUP(AS77,'11. Lists'!$I$47:$K$80,3,FALSE)))</f>
        <v/>
      </c>
      <c r="AU77" s="118" t="str">
        <f>IF(D77="","",VLOOKUP(F77,'9. All Habitats + Multipliers'!$C$4:$K$102,8,FALSE))</f>
        <v/>
      </c>
      <c r="AV77" s="116" t="str">
        <f>IF(AU77="","",VLOOKUP(AU77,'11. Lists'!$J$35:$K$38,2,FALSE))</f>
        <v/>
      </c>
      <c r="AW77" s="115" t="str">
        <f>IF(D77="","",VLOOKUP(D77,'10. Condition and Temporal'!$B$6:$M$103,4,FALSE))</f>
        <v/>
      </c>
      <c r="AX77" s="116" t="str">
        <f t="shared" si="22"/>
        <v/>
      </c>
      <c r="AZ77" s="210"/>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8" t="str">
        <f t="shared" si="49"/>
        <v/>
      </c>
      <c r="BW77" s="95" t="s">
        <v>177</v>
      </c>
      <c r="BX77" s="95">
        <f>BM64</f>
        <v>0</v>
      </c>
    </row>
    <row r="78" spans="1:76" s="25" customFormat="1" ht="15.75" x14ac:dyDescent="0.25">
      <c r="B78" s="268">
        <v>13</v>
      </c>
      <c r="C78" s="120" t="str">
        <f t="shared" si="12"/>
        <v/>
      </c>
      <c r="D78" s="212" t="str">
        <f t="shared" si="43"/>
        <v/>
      </c>
      <c r="E78" s="170" t="str">
        <f t="shared" si="13"/>
        <v/>
      </c>
      <c r="F78" s="664"/>
      <c r="G78" s="665"/>
      <c r="H78" s="167" t="str">
        <f t="shared" si="14"/>
        <v/>
      </c>
      <c r="I78" s="324" t="str">
        <f t="shared" si="44"/>
        <v/>
      </c>
      <c r="J78" s="859" t="str">
        <f>IFERROR(IF(F78="","",VLOOKUP(F78,'10. Condition and Temporal'!$B$6:$F$103,5,FALSE)), "Error ▲")</f>
        <v/>
      </c>
      <c r="K78" s="860"/>
      <c r="L78" s="287" t="str">
        <f>IFERROR(IF(D78="","",IF(AX78="Distinctiveness",(((((I78*AH78*AJ78)-(I78*V78*X78))*(AV78*AT78))+(I78*V78*X78))*AP78/1000),((((I78*AH78*AJ78)-(I78*V78*X78))*(AV78*AR78))+(I78*V78*X78))*AP78/1000)),"This intervention is not permitted within the SSM ▲")</f>
        <v/>
      </c>
      <c r="M78" s="704" t="str">
        <f t="shared" si="46"/>
        <v/>
      </c>
      <c r="N78" s="858"/>
      <c r="O78" s="74"/>
      <c r="P78" s="12"/>
      <c r="R78" s="646"/>
      <c r="T78" s="181" t="str">
        <f t="shared" si="15"/>
        <v/>
      </c>
      <c r="U78" s="115" t="str">
        <f t="shared" si="47"/>
        <v/>
      </c>
      <c r="V78" s="116" t="str">
        <f t="shared" si="16"/>
        <v/>
      </c>
      <c r="W78" s="115" t="str">
        <f t="shared" si="16"/>
        <v/>
      </c>
      <c r="X78" s="95" t="str">
        <f t="shared" si="16"/>
        <v/>
      </c>
      <c r="Y78" s="347"/>
      <c r="Z78" s="347"/>
      <c r="AA78" s="347"/>
      <c r="AB78" s="95" t="str">
        <f t="shared" si="17"/>
        <v/>
      </c>
      <c r="AC78" s="117" t="str">
        <f t="shared" si="18"/>
        <v/>
      </c>
      <c r="AD78" s="116" t="str">
        <f t="shared" si="50"/>
        <v/>
      </c>
      <c r="AE78" s="183" t="str">
        <f t="shared" si="48"/>
        <v/>
      </c>
      <c r="AF78" s="114" t="str">
        <f t="shared" si="19"/>
        <v/>
      </c>
      <c r="AG78" s="115" t="str">
        <f>IF(D78="","",VLOOKUP(F78,'9. All Habitats + Multipliers'!$C$4:$K$102,5,FALSE))</f>
        <v/>
      </c>
      <c r="AH78" s="116" t="str">
        <f>IF(AG78="","",VLOOKUP(AG78,'11. Lists'!$S$47:$U$50,2,FALSE))</f>
        <v/>
      </c>
      <c r="AI78" s="114" t="str">
        <f t="shared" si="20"/>
        <v/>
      </c>
      <c r="AJ78" s="93" t="str">
        <f>IF(AI78="","",VLOOKUP(AI78,'11. Lists'!$F$47:$G$51,2,FALSE))</f>
        <v/>
      </c>
      <c r="AK78" s="347"/>
      <c r="AL78" s="347"/>
      <c r="AM78" s="347"/>
      <c r="AN78" s="94" t="str">
        <f t="shared" si="21"/>
        <v/>
      </c>
      <c r="AO78" s="118" t="str">
        <f>IF(AN78="","",VLOOKUP(AN78,'11. Lists'!$F$36:$H$38,2,FALSE))</f>
        <v/>
      </c>
      <c r="AP78" s="116" t="str">
        <f>IF(AN78="","",VLOOKUP(AN78,'11. Lists'!$F$36:$H$38,3,FALSE))</f>
        <v/>
      </c>
      <c r="AQ78" s="115" t="str">
        <f>IF(D78="","",IF(AX78="Distinctiveness","N/A",VLOOKUP(F78,'10. Condition and Temporal'!$B$6:$L$103,11,FALSE)))</f>
        <v/>
      </c>
      <c r="AR78" s="119" t="str">
        <f>IF(AQ78="","",IF(AQ78="N/A","1",VLOOKUP(AQ78,'11. Lists'!$I$47:$K$80,3,FALSE)))</f>
        <v/>
      </c>
      <c r="AS78" s="135" t="str">
        <f>IF(D78="","",IF(AX78="Condition","N/A",VLOOKUP(F78,'10. Condition and Temporal'!$B$6:$M$106,12,FALSE)))</f>
        <v/>
      </c>
      <c r="AT78" s="119" t="str">
        <f>IF(AS78="","",IF(AS78="N/A","1",VLOOKUP(AS78,'11. Lists'!$I$47:$K$80,3,FALSE)))</f>
        <v/>
      </c>
      <c r="AU78" s="118" t="str">
        <f>IF(D78="","",VLOOKUP(F78,'9. All Habitats + Multipliers'!$C$4:$K$102,8,FALSE))</f>
        <v/>
      </c>
      <c r="AV78" s="116" t="str">
        <f>IF(AU78="","",VLOOKUP(AU78,'11. Lists'!$J$35:$K$38,2,FALSE))</f>
        <v/>
      </c>
      <c r="AW78" s="115" t="str">
        <f>IF(D78="","",VLOOKUP(D78,'10. Condition and Temporal'!$B$6:$M$103,4,FALSE))</f>
        <v/>
      </c>
      <c r="AX78" s="116" t="str">
        <f t="shared" si="22"/>
        <v/>
      </c>
      <c r="AZ78" s="210"/>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8" t="str">
        <f t="shared" si="49"/>
        <v/>
      </c>
      <c r="BW78" s="95" t="s">
        <v>178</v>
      </c>
      <c r="BX78" s="95">
        <f>BN64</f>
        <v>0</v>
      </c>
    </row>
    <row r="79" spans="1:76" s="25" customFormat="1" ht="15.75" x14ac:dyDescent="0.25">
      <c r="B79" s="268">
        <v>14</v>
      </c>
      <c r="C79" s="120" t="str">
        <f t="shared" si="12"/>
        <v/>
      </c>
      <c r="D79" s="212" t="str">
        <f t="shared" si="43"/>
        <v/>
      </c>
      <c r="E79" s="170" t="str">
        <f t="shared" si="13"/>
        <v/>
      </c>
      <c r="F79" s="664"/>
      <c r="G79" s="665"/>
      <c r="H79" s="167" t="str">
        <f t="shared" si="14"/>
        <v/>
      </c>
      <c r="I79" s="324" t="str">
        <f t="shared" si="44"/>
        <v/>
      </c>
      <c r="J79" s="859" t="str">
        <f>IFERROR(IF(F79="","",VLOOKUP(F79,'10. Condition and Temporal'!$B$6:$F$103,5,FALSE)), "Error ▲")</f>
        <v/>
      </c>
      <c r="K79" s="860"/>
      <c r="L79" s="287" t="str">
        <f t="shared" si="45"/>
        <v/>
      </c>
      <c r="M79" s="704" t="str">
        <f t="shared" si="46"/>
        <v/>
      </c>
      <c r="N79" s="858"/>
      <c r="O79" s="74"/>
      <c r="P79" s="12"/>
      <c r="R79" s="646"/>
      <c r="T79" s="181" t="str">
        <f t="shared" si="15"/>
        <v/>
      </c>
      <c r="U79" s="115" t="str">
        <f t="shared" si="47"/>
        <v/>
      </c>
      <c r="V79" s="116" t="str">
        <f t="shared" si="16"/>
        <v/>
      </c>
      <c r="W79" s="115" t="str">
        <f t="shared" si="16"/>
        <v/>
      </c>
      <c r="X79" s="95" t="str">
        <f t="shared" si="16"/>
        <v/>
      </c>
      <c r="Y79" s="347"/>
      <c r="Z79" s="347"/>
      <c r="AA79" s="347"/>
      <c r="AB79" s="95" t="str">
        <f t="shared" si="17"/>
        <v/>
      </c>
      <c r="AC79" s="117" t="str">
        <f t="shared" si="18"/>
        <v/>
      </c>
      <c r="AD79" s="116" t="str">
        <f t="shared" si="50"/>
        <v/>
      </c>
      <c r="AE79" s="183" t="str">
        <f t="shared" si="48"/>
        <v/>
      </c>
      <c r="AF79" s="114" t="str">
        <f t="shared" si="19"/>
        <v/>
      </c>
      <c r="AG79" s="115" t="str">
        <f>IF(D79="","",VLOOKUP(F79,'9. All Habitats + Multipliers'!$C$4:$K$102,5,FALSE))</f>
        <v/>
      </c>
      <c r="AH79" s="116" t="str">
        <f>IF(AG79="","",VLOOKUP(AG79,'11. Lists'!$S$47:$U$50,2,FALSE))</f>
        <v/>
      </c>
      <c r="AI79" s="114" t="str">
        <f t="shared" si="20"/>
        <v/>
      </c>
      <c r="AJ79" s="93" t="str">
        <f>IF(AI79="","",VLOOKUP(AI79,'11. Lists'!$F$47:$G$51,2,FALSE))</f>
        <v/>
      </c>
      <c r="AK79" s="347"/>
      <c r="AL79" s="347"/>
      <c r="AM79" s="347"/>
      <c r="AN79" s="94" t="str">
        <f t="shared" si="21"/>
        <v/>
      </c>
      <c r="AO79" s="118" t="str">
        <f>IF(AN79="","",VLOOKUP(AN79,'11. Lists'!$F$36:$H$38,2,FALSE))</f>
        <v/>
      </c>
      <c r="AP79" s="116" t="str">
        <f>IF(AN79="","",VLOOKUP(AN79,'11. Lists'!$F$36:$H$38,3,FALSE))</f>
        <v/>
      </c>
      <c r="AQ79" s="115" t="str">
        <f>IF(D79="","",IF(AX79="Distinctiveness","N/A",VLOOKUP(F79,'10. Condition and Temporal'!$B$6:$L$103,11,FALSE)))</f>
        <v/>
      </c>
      <c r="AR79" s="119" t="str">
        <f>IF(AQ79="","",IF(AQ79="N/A","1",VLOOKUP(AQ79,'11. Lists'!$I$47:$K$80,3,FALSE)))</f>
        <v/>
      </c>
      <c r="AS79" s="135" t="str">
        <f>IF(D79="","",IF(AX79="Condition","N/A",VLOOKUP(F79,'10. Condition and Temporal'!$B$6:$M$106,12,FALSE)))</f>
        <v/>
      </c>
      <c r="AT79" s="119" t="str">
        <f>IF(AS79="","",IF(AS79="N/A","1",VLOOKUP(AS79,'11. Lists'!$I$47:$K$80,3,FALSE)))</f>
        <v/>
      </c>
      <c r="AU79" s="118" t="str">
        <f>IF(D79="","",VLOOKUP(F79,'9. All Habitats + Multipliers'!$C$4:$K$102,8,FALSE))</f>
        <v/>
      </c>
      <c r="AV79" s="116" t="str">
        <f>IF(AU79="","",VLOOKUP(AU79,'11. Lists'!$J$35:$K$38,2,FALSE))</f>
        <v/>
      </c>
      <c r="AW79" s="115" t="str">
        <f>IF(D79="","",VLOOKUP(D79,'10. Condition and Temporal'!$B$6:$M$103,4,FALSE))</f>
        <v/>
      </c>
      <c r="AX79" s="116" t="str">
        <f t="shared" si="22"/>
        <v/>
      </c>
      <c r="AZ79" s="210"/>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8" t="str">
        <f t="shared" si="49"/>
        <v/>
      </c>
      <c r="BW79" s="95" t="s">
        <v>179</v>
      </c>
      <c r="BX79" s="95">
        <f>BO64</f>
        <v>0</v>
      </c>
    </row>
    <row r="80" spans="1:76" s="25" customFormat="1" ht="15.75" x14ac:dyDescent="0.25">
      <c r="B80" s="268">
        <v>15</v>
      </c>
      <c r="C80" s="120" t="str">
        <f t="shared" si="12"/>
        <v/>
      </c>
      <c r="D80" s="212" t="str">
        <f t="shared" si="43"/>
        <v/>
      </c>
      <c r="E80" s="170" t="str">
        <f t="shared" si="13"/>
        <v/>
      </c>
      <c r="F80" s="664"/>
      <c r="G80" s="665"/>
      <c r="H80" s="167" t="str">
        <f t="shared" si="14"/>
        <v/>
      </c>
      <c r="I80" s="324" t="str">
        <f t="shared" si="44"/>
        <v/>
      </c>
      <c r="J80" s="859" t="str">
        <f>IFERROR(IF(F80="","",VLOOKUP(F80,'10. Condition and Temporal'!$B$6:$F$103,5,FALSE)), "Error ▲")</f>
        <v/>
      </c>
      <c r="K80" s="860"/>
      <c r="L80" s="287" t="str">
        <f t="shared" si="45"/>
        <v/>
      </c>
      <c r="M80" s="704" t="str">
        <f t="shared" si="46"/>
        <v/>
      </c>
      <c r="N80" s="858"/>
      <c r="O80" s="74"/>
      <c r="P80" s="12"/>
      <c r="R80" s="646"/>
      <c r="T80" s="181" t="str">
        <f t="shared" si="15"/>
        <v/>
      </c>
      <c r="U80" s="115" t="str">
        <f t="shared" si="47"/>
        <v/>
      </c>
      <c r="V80" s="116" t="str">
        <f t="shared" si="16"/>
        <v/>
      </c>
      <c r="W80" s="115" t="str">
        <f t="shared" si="16"/>
        <v/>
      </c>
      <c r="X80" s="95" t="str">
        <f t="shared" si="16"/>
        <v/>
      </c>
      <c r="Y80" s="347"/>
      <c r="Z80" s="347"/>
      <c r="AA80" s="347"/>
      <c r="AB80" s="95" t="str">
        <f t="shared" si="17"/>
        <v/>
      </c>
      <c r="AC80" s="117" t="str">
        <f t="shared" si="18"/>
        <v/>
      </c>
      <c r="AD80" s="116" t="str">
        <f t="shared" si="50"/>
        <v/>
      </c>
      <c r="AE80" s="183" t="str">
        <f t="shared" si="48"/>
        <v/>
      </c>
      <c r="AF80" s="114" t="str">
        <f t="shared" si="19"/>
        <v/>
      </c>
      <c r="AG80" s="115" t="str">
        <f>IF(D80="","",VLOOKUP(F80,'9. All Habitats + Multipliers'!$C$4:$K$102,5,FALSE))</f>
        <v/>
      </c>
      <c r="AH80" s="116" t="str">
        <f>IF(AG80="","",VLOOKUP(AG80,'11. Lists'!$S$47:$U$50,2,FALSE))</f>
        <v/>
      </c>
      <c r="AI80" s="114" t="str">
        <f t="shared" si="20"/>
        <v/>
      </c>
      <c r="AJ80" s="93" t="str">
        <f>IF(AI80="","",VLOOKUP(AI80,'11. Lists'!$F$47:$G$51,2,FALSE))</f>
        <v/>
      </c>
      <c r="AK80" s="347"/>
      <c r="AL80" s="347"/>
      <c r="AM80" s="347"/>
      <c r="AN80" s="94" t="str">
        <f t="shared" si="21"/>
        <v/>
      </c>
      <c r="AO80" s="118" t="str">
        <f>IF(AN80="","",VLOOKUP(AN80,'11. Lists'!$F$36:$H$38,2,FALSE))</f>
        <v/>
      </c>
      <c r="AP80" s="116" t="str">
        <f>IF(AN80="","",VLOOKUP(AN80,'11. Lists'!$F$36:$H$38,3,FALSE))</f>
        <v/>
      </c>
      <c r="AQ80" s="115" t="str">
        <f>IF(D80="","",IF(AX80="Distinctiveness","N/A",VLOOKUP(F80,'10. Condition and Temporal'!$B$6:$L$103,11,FALSE)))</f>
        <v/>
      </c>
      <c r="AR80" s="119" t="str">
        <f>IF(AQ80="","",IF(AQ80="N/A","1",VLOOKUP(AQ80,'11. Lists'!$I$47:$K$80,3,FALSE)))</f>
        <v/>
      </c>
      <c r="AS80" s="135" t="str">
        <f>IF(D80="","",IF(AX80="Condition","N/A",VLOOKUP(F80,'10. Condition and Temporal'!$B$6:$M$106,12,FALSE)))</f>
        <v/>
      </c>
      <c r="AT80" s="119" t="str">
        <f>IF(AS80="","",IF(AS80="N/A","1",VLOOKUP(AS80,'11. Lists'!$I$47:$K$80,3,FALSE)))</f>
        <v/>
      </c>
      <c r="AU80" s="118" t="str">
        <f>IF(D80="","",VLOOKUP(F80,'9. All Habitats + Multipliers'!$C$4:$K$102,8,FALSE))</f>
        <v/>
      </c>
      <c r="AV80" s="116" t="str">
        <f>IF(AU80="","",VLOOKUP(AU80,'11. Lists'!$J$35:$K$38,2,FALSE))</f>
        <v/>
      </c>
      <c r="AW80" s="115" t="str">
        <f>IF(D80="","",VLOOKUP(D80,'10. Condition and Temporal'!$B$6:$M$103,4,FALSE))</f>
        <v/>
      </c>
      <c r="AX80" s="116" t="str">
        <f t="shared" si="22"/>
        <v/>
      </c>
      <c r="AZ80" s="210"/>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8" t="str">
        <f t="shared" si="49"/>
        <v/>
      </c>
      <c r="BW80" s="95" t="s">
        <v>180</v>
      </c>
      <c r="BX80" s="95">
        <f>BP64</f>
        <v>0</v>
      </c>
    </row>
    <row r="81" spans="1:76" s="25" customFormat="1" ht="15.75" x14ac:dyDescent="0.25">
      <c r="B81" s="268">
        <v>16</v>
      </c>
      <c r="C81" s="120" t="str">
        <f t="shared" si="12"/>
        <v/>
      </c>
      <c r="D81" s="212" t="str">
        <f t="shared" si="43"/>
        <v/>
      </c>
      <c r="E81" s="170" t="str">
        <f t="shared" si="13"/>
        <v/>
      </c>
      <c r="F81" s="664"/>
      <c r="G81" s="665"/>
      <c r="H81" s="167" t="str">
        <f t="shared" si="14"/>
        <v/>
      </c>
      <c r="I81" s="324" t="str">
        <f t="shared" si="44"/>
        <v/>
      </c>
      <c r="J81" s="859" t="str">
        <f>IFERROR(IF(F81="","",VLOOKUP(F81,'10. Condition and Temporal'!$B$6:$F$103,5,FALSE)), "Error ▲")</f>
        <v/>
      </c>
      <c r="K81" s="860"/>
      <c r="L81" s="287" t="str">
        <f t="shared" si="45"/>
        <v/>
      </c>
      <c r="M81" s="704" t="str">
        <f t="shared" si="46"/>
        <v/>
      </c>
      <c r="N81" s="858"/>
      <c r="O81" s="74"/>
      <c r="P81" s="12"/>
      <c r="R81" s="646"/>
      <c r="T81" s="181" t="str">
        <f t="shared" si="15"/>
        <v/>
      </c>
      <c r="U81" s="115" t="str">
        <f t="shared" si="47"/>
        <v/>
      </c>
      <c r="V81" s="116" t="str">
        <f t="shared" si="16"/>
        <v/>
      </c>
      <c r="W81" s="115" t="str">
        <f t="shared" si="16"/>
        <v/>
      </c>
      <c r="X81" s="95" t="str">
        <f t="shared" si="16"/>
        <v/>
      </c>
      <c r="Y81" s="347"/>
      <c r="Z81" s="347"/>
      <c r="AA81" s="347"/>
      <c r="AB81" s="95" t="str">
        <f t="shared" si="17"/>
        <v/>
      </c>
      <c r="AC81" s="117" t="str">
        <f t="shared" si="18"/>
        <v/>
      </c>
      <c r="AD81" s="116" t="str">
        <f t="shared" si="50"/>
        <v/>
      </c>
      <c r="AE81" s="183" t="str">
        <f t="shared" si="48"/>
        <v/>
      </c>
      <c r="AF81" s="114" t="str">
        <f t="shared" si="19"/>
        <v/>
      </c>
      <c r="AG81" s="115" t="str">
        <f>IF(D81="","",VLOOKUP(F81,'9. All Habitats + Multipliers'!$C$4:$K$102,5,FALSE))</f>
        <v/>
      </c>
      <c r="AH81" s="116" t="str">
        <f>IF(AG81="","",VLOOKUP(AG81,'11. Lists'!$S$47:$U$50,2,FALSE))</f>
        <v/>
      </c>
      <c r="AI81" s="114" t="str">
        <f t="shared" si="20"/>
        <v/>
      </c>
      <c r="AJ81" s="93" t="str">
        <f>IF(AI81="","",VLOOKUP(AI81,'11. Lists'!$F$47:$G$51,2,FALSE))</f>
        <v/>
      </c>
      <c r="AK81" s="347"/>
      <c r="AL81" s="347"/>
      <c r="AM81" s="347"/>
      <c r="AN81" s="94" t="str">
        <f t="shared" si="21"/>
        <v/>
      </c>
      <c r="AO81" s="118" t="str">
        <f>IF(AN81="","",VLOOKUP(AN81,'11. Lists'!$F$36:$H$38,2,FALSE))</f>
        <v/>
      </c>
      <c r="AP81" s="116" t="str">
        <f>IF(AN81="","",VLOOKUP(AN81,'11. Lists'!$F$36:$H$38,3,FALSE))</f>
        <v/>
      </c>
      <c r="AQ81" s="115" t="str">
        <f>IF(D81="","",IF(AX81="Distinctiveness","N/A",VLOOKUP(F81,'10. Condition and Temporal'!$B$6:$L$103,11,FALSE)))</f>
        <v/>
      </c>
      <c r="AR81" s="119" t="str">
        <f>IF(AQ81="","",IF(AQ81="N/A","1",VLOOKUP(AQ81,'11. Lists'!$I$47:$K$80,3,FALSE)))</f>
        <v/>
      </c>
      <c r="AS81" s="135" t="str">
        <f>IF(D81="","",IF(AX81="Condition","N/A",VLOOKUP(F81,'10. Condition and Temporal'!$B$6:$M$106,12,FALSE)))</f>
        <v/>
      </c>
      <c r="AT81" s="119" t="str">
        <f>IF(AS81="","",IF(AS81="N/A","1",VLOOKUP(AS81,'11. Lists'!$I$47:$K$80,3,FALSE)))</f>
        <v/>
      </c>
      <c r="AU81" s="118" t="str">
        <f>IF(D81="","",VLOOKUP(F81,'9. All Habitats + Multipliers'!$C$4:$K$102,8,FALSE))</f>
        <v/>
      </c>
      <c r="AV81" s="116" t="str">
        <f>IF(AU81="","",VLOOKUP(AU81,'11. Lists'!$J$35:$K$38,2,FALSE))</f>
        <v/>
      </c>
      <c r="AW81" s="115" t="str">
        <f>IF(D81="","",VLOOKUP(D81,'10. Condition and Temporal'!$B$6:$M$103,4,FALSE))</f>
        <v/>
      </c>
      <c r="AX81" s="116" t="str">
        <f t="shared" si="22"/>
        <v/>
      </c>
      <c r="AZ81" s="210"/>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8" t="str">
        <f t="shared" si="49"/>
        <v/>
      </c>
      <c r="BW81" s="95" t="s">
        <v>181</v>
      </c>
      <c r="BX81" s="95">
        <f>BQ64</f>
        <v>0</v>
      </c>
    </row>
    <row r="82" spans="1:76" s="25" customFormat="1" ht="15.75" x14ac:dyDescent="0.25">
      <c r="B82" s="268">
        <v>17</v>
      </c>
      <c r="C82" s="120" t="str">
        <f t="shared" si="12"/>
        <v/>
      </c>
      <c r="D82" s="212" t="str">
        <f t="shared" si="43"/>
        <v/>
      </c>
      <c r="E82" s="170" t="str">
        <f t="shared" si="13"/>
        <v/>
      </c>
      <c r="F82" s="664"/>
      <c r="G82" s="665"/>
      <c r="H82" s="167" t="str">
        <f t="shared" si="14"/>
        <v/>
      </c>
      <c r="I82" s="324" t="str">
        <f t="shared" si="44"/>
        <v/>
      </c>
      <c r="J82" s="859" t="str">
        <f>IFERROR(IF(F82="","",VLOOKUP(F82,'10. Condition and Temporal'!$B$6:$F$103,5,FALSE)), "Error ▲")</f>
        <v/>
      </c>
      <c r="K82" s="860"/>
      <c r="L82" s="287" t="str">
        <f t="shared" si="45"/>
        <v/>
      </c>
      <c r="M82" s="704" t="str">
        <f t="shared" si="46"/>
        <v/>
      </c>
      <c r="N82" s="858"/>
      <c r="O82" s="74"/>
      <c r="P82" s="12"/>
      <c r="R82" s="646"/>
      <c r="T82" s="181" t="str">
        <f t="shared" si="15"/>
        <v/>
      </c>
      <c r="U82" s="115" t="str">
        <f t="shared" si="47"/>
        <v/>
      </c>
      <c r="V82" s="116" t="str">
        <f t="shared" si="16"/>
        <v/>
      </c>
      <c r="W82" s="115" t="str">
        <f t="shared" si="16"/>
        <v/>
      </c>
      <c r="X82" s="95" t="str">
        <f t="shared" si="16"/>
        <v/>
      </c>
      <c r="Y82" s="347"/>
      <c r="Z82" s="347"/>
      <c r="AA82" s="347"/>
      <c r="AB82" s="95" t="str">
        <f t="shared" si="17"/>
        <v/>
      </c>
      <c r="AC82" s="117" t="str">
        <f t="shared" si="18"/>
        <v/>
      </c>
      <c r="AD82" s="116" t="str">
        <f t="shared" si="50"/>
        <v/>
      </c>
      <c r="AE82" s="183" t="str">
        <f t="shared" si="48"/>
        <v/>
      </c>
      <c r="AF82" s="114" t="str">
        <f t="shared" si="19"/>
        <v/>
      </c>
      <c r="AG82" s="115" t="str">
        <f>IF(D82="","",VLOOKUP(F82,'9. All Habitats + Multipliers'!$C$4:$K$102,5,FALSE))</f>
        <v/>
      </c>
      <c r="AH82" s="116" t="str">
        <f>IF(AG82="","",VLOOKUP(AG82,'11. Lists'!$S$47:$U$50,2,FALSE))</f>
        <v/>
      </c>
      <c r="AI82" s="114" t="str">
        <f t="shared" si="20"/>
        <v/>
      </c>
      <c r="AJ82" s="93" t="str">
        <f>IF(AI82="","",VLOOKUP(AI82,'11. Lists'!$F$47:$G$51,2,FALSE))</f>
        <v/>
      </c>
      <c r="AK82" s="347"/>
      <c r="AL82" s="347"/>
      <c r="AM82" s="347"/>
      <c r="AN82" s="94" t="str">
        <f t="shared" si="21"/>
        <v/>
      </c>
      <c r="AO82" s="118" t="str">
        <f>IF(AN82="","",VLOOKUP(AN82,'11. Lists'!$F$36:$H$38,2,FALSE))</f>
        <v/>
      </c>
      <c r="AP82" s="116" t="str">
        <f>IF(AN82="","",VLOOKUP(AN82,'11. Lists'!$F$36:$H$38,3,FALSE))</f>
        <v/>
      </c>
      <c r="AQ82" s="115" t="str">
        <f>IF(D82="","",IF(AX82="Distinctiveness","N/A",VLOOKUP(F82,'10. Condition and Temporal'!$B$6:$L$103,11,FALSE)))</f>
        <v/>
      </c>
      <c r="AR82" s="119" t="str">
        <f>IF(AQ82="","",IF(AQ82="N/A","1",VLOOKUP(AQ82,'11. Lists'!$I$47:$K$80,3,FALSE)))</f>
        <v/>
      </c>
      <c r="AS82" s="135" t="str">
        <f>IF(D82="","",IF(AX82="Condition","N/A",VLOOKUP(F82,'10. Condition and Temporal'!$B$6:$M$106,12,FALSE)))</f>
        <v/>
      </c>
      <c r="AT82" s="119" t="str">
        <f>IF(AS82="","",IF(AS82="N/A","1",VLOOKUP(AS82,'11. Lists'!$I$47:$K$80,3,FALSE)))</f>
        <v/>
      </c>
      <c r="AU82" s="118" t="str">
        <f>IF(D82="","",VLOOKUP(F82,'9. All Habitats + Multipliers'!$C$4:$K$102,8,FALSE))</f>
        <v/>
      </c>
      <c r="AV82" s="116" t="str">
        <f>IF(AU82="","",VLOOKUP(AU82,'11. Lists'!$J$35:$K$38,2,FALSE))</f>
        <v/>
      </c>
      <c r="AW82" s="115" t="str">
        <f>IF(D82="","",VLOOKUP(D82,'10. Condition and Temporal'!$B$6:$M$103,4,FALSE))</f>
        <v/>
      </c>
      <c r="AX82" s="116" t="str">
        <f t="shared" si="22"/>
        <v/>
      </c>
      <c r="AZ82" s="210"/>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8" t="str">
        <f t="shared" si="49"/>
        <v/>
      </c>
      <c r="BW82" s="95" t="s">
        <v>182</v>
      </c>
      <c r="BX82" s="95">
        <f>BR64</f>
        <v>0</v>
      </c>
    </row>
    <row r="83" spans="1:76" s="25" customFormat="1" ht="15.75" x14ac:dyDescent="0.25">
      <c r="B83" s="268">
        <v>18</v>
      </c>
      <c r="C83" s="120" t="str">
        <f t="shared" si="12"/>
        <v/>
      </c>
      <c r="D83" s="212" t="str">
        <f t="shared" si="43"/>
        <v/>
      </c>
      <c r="E83" s="170" t="str">
        <f t="shared" si="13"/>
        <v/>
      </c>
      <c r="F83" s="664"/>
      <c r="G83" s="665"/>
      <c r="H83" s="167" t="str">
        <f t="shared" si="14"/>
        <v/>
      </c>
      <c r="I83" s="324" t="str">
        <f t="shared" si="44"/>
        <v/>
      </c>
      <c r="J83" s="859" t="str">
        <f>IFERROR(IF(F83="","",VLOOKUP(F83,'10. Condition and Temporal'!$B$6:$F$103,5,FALSE)), "Error ▲")</f>
        <v/>
      </c>
      <c r="K83" s="860"/>
      <c r="L83" s="287" t="str">
        <f t="shared" si="45"/>
        <v/>
      </c>
      <c r="M83" s="704" t="str">
        <f t="shared" si="46"/>
        <v/>
      </c>
      <c r="N83" s="858"/>
      <c r="O83" s="74"/>
      <c r="P83" s="12"/>
      <c r="R83" s="646"/>
      <c r="T83" s="181" t="str">
        <f t="shared" si="15"/>
        <v/>
      </c>
      <c r="U83" s="115" t="str">
        <f t="shared" si="47"/>
        <v/>
      </c>
      <c r="V83" s="116" t="str">
        <f t="shared" si="16"/>
        <v/>
      </c>
      <c r="W83" s="115" t="str">
        <f t="shared" si="16"/>
        <v/>
      </c>
      <c r="X83" s="95" t="str">
        <f t="shared" si="16"/>
        <v/>
      </c>
      <c r="Y83" s="347"/>
      <c r="Z83" s="347"/>
      <c r="AA83" s="347"/>
      <c r="AB83" s="95" t="str">
        <f t="shared" si="17"/>
        <v/>
      </c>
      <c r="AC83" s="117" t="str">
        <f t="shared" si="18"/>
        <v/>
      </c>
      <c r="AD83" s="116" t="str">
        <f t="shared" si="50"/>
        <v/>
      </c>
      <c r="AE83" s="183" t="str">
        <f t="shared" si="48"/>
        <v/>
      </c>
      <c r="AF83" s="114" t="str">
        <f t="shared" si="19"/>
        <v/>
      </c>
      <c r="AG83" s="115" t="str">
        <f>IF(D83="","",VLOOKUP(F83,'9. All Habitats + Multipliers'!$C$4:$K$102,5,FALSE))</f>
        <v/>
      </c>
      <c r="AH83" s="116" t="str">
        <f>IF(AG83="","",VLOOKUP(AG83,'11. Lists'!$S$47:$U$50,2,FALSE))</f>
        <v/>
      </c>
      <c r="AI83" s="114" t="str">
        <f t="shared" si="20"/>
        <v/>
      </c>
      <c r="AJ83" s="93" t="str">
        <f>IF(AI83="","",VLOOKUP(AI83,'11. Lists'!$F$47:$G$51,2,FALSE))</f>
        <v/>
      </c>
      <c r="AK83" s="347"/>
      <c r="AL83" s="347"/>
      <c r="AM83" s="347"/>
      <c r="AN83" s="94" t="str">
        <f t="shared" si="21"/>
        <v/>
      </c>
      <c r="AO83" s="118" t="str">
        <f>IF(AN83="","",VLOOKUP(AN83,'11. Lists'!$F$36:$H$38,2,FALSE))</f>
        <v/>
      </c>
      <c r="AP83" s="116" t="str">
        <f>IF(AN83="","",VLOOKUP(AN83,'11. Lists'!$F$36:$H$38,3,FALSE))</f>
        <v/>
      </c>
      <c r="AQ83" s="115" t="str">
        <f>IF(D83="","",IF(AX83="Distinctiveness","N/A",VLOOKUP(F83,'10. Condition and Temporal'!$B$6:$L$103,11,FALSE)))</f>
        <v/>
      </c>
      <c r="AR83" s="119" t="str">
        <f>IF(AQ83="","",IF(AQ83="N/A","1",VLOOKUP(AQ83,'11. Lists'!$I$47:$K$80,3,FALSE)))</f>
        <v/>
      </c>
      <c r="AS83" s="135" t="str">
        <f>IF(D83="","",IF(AX83="Condition","N/A",VLOOKUP(F83,'10. Condition and Temporal'!$B$6:$M$106,12,FALSE)))</f>
        <v/>
      </c>
      <c r="AT83" s="119" t="str">
        <f>IF(AS83="","",IF(AS83="N/A","1",VLOOKUP(AS83,'11. Lists'!$I$47:$K$80,3,FALSE)))</f>
        <v/>
      </c>
      <c r="AU83" s="118" t="str">
        <f>IF(D83="","",VLOOKUP(F83,'9. All Habitats + Multipliers'!$C$4:$K$102,8,FALSE))</f>
        <v/>
      </c>
      <c r="AV83" s="116" t="str">
        <f>IF(AU83="","",VLOOKUP(AU83,'11. Lists'!$J$35:$K$38,2,FALSE))</f>
        <v/>
      </c>
      <c r="AW83" s="115" t="str">
        <f>IF(D83="","",VLOOKUP(D83,'10. Condition and Temporal'!$B$6:$M$103,4,FALSE))</f>
        <v/>
      </c>
      <c r="AX83" s="116" t="str">
        <f t="shared" si="22"/>
        <v/>
      </c>
      <c r="AZ83" s="210"/>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8" t="str">
        <f t="shared" si="49"/>
        <v/>
      </c>
      <c r="BW83" s="95" t="s">
        <v>183</v>
      </c>
      <c r="BX83" s="95">
        <f>BS64</f>
        <v>0</v>
      </c>
    </row>
    <row r="84" spans="1:76" s="25" customFormat="1" ht="15.75" x14ac:dyDescent="0.25">
      <c r="B84" s="268">
        <v>19</v>
      </c>
      <c r="C84" s="120" t="str">
        <f t="shared" si="12"/>
        <v/>
      </c>
      <c r="D84" s="212" t="str">
        <f t="shared" si="43"/>
        <v/>
      </c>
      <c r="E84" s="170" t="str">
        <f t="shared" si="13"/>
        <v/>
      </c>
      <c r="F84" s="664"/>
      <c r="G84" s="665"/>
      <c r="H84" s="167" t="str">
        <f t="shared" si="14"/>
        <v/>
      </c>
      <c r="I84" s="324" t="str">
        <f t="shared" si="44"/>
        <v/>
      </c>
      <c r="J84" s="859" t="str">
        <f>IFERROR(IF(F84="","",VLOOKUP(F84,'10. Condition and Temporal'!$B$6:$F$103,5,FALSE)), "Error ▲")</f>
        <v/>
      </c>
      <c r="K84" s="860"/>
      <c r="L84" s="287" t="str">
        <f t="shared" si="45"/>
        <v/>
      </c>
      <c r="M84" s="704" t="str">
        <f t="shared" si="46"/>
        <v/>
      </c>
      <c r="N84" s="858"/>
      <c r="O84" s="74"/>
      <c r="P84" s="12"/>
      <c r="R84" s="646"/>
      <c r="T84" s="181" t="str">
        <f t="shared" si="15"/>
        <v/>
      </c>
      <c r="U84" s="115" t="str">
        <f t="shared" si="47"/>
        <v/>
      </c>
      <c r="V84" s="116" t="str">
        <f t="shared" si="16"/>
        <v/>
      </c>
      <c r="W84" s="115" t="str">
        <f t="shared" si="16"/>
        <v/>
      </c>
      <c r="X84" s="95" t="str">
        <f t="shared" si="16"/>
        <v/>
      </c>
      <c r="Y84" s="347"/>
      <c r="Z84" s="347"/>
      <c r="AA84" s="347"/>
      <c r="AB84" s="95" t="str">
        <f t="shared" si="17"/>
        <v/>
      </c>
      <c r="AC84" s="117" t="str">
        <f t="shared" si="18"/>
        <v/>
      </c>
      <c r="AD84" s="116" t="str">
        <f t="shared" si="50"/>
        <v/>
      </c>
      <c r="AE84" s="183" t="str">
        <f t="shared" si="48"/>
        <v/>
      </c>
      <c r="AF84" s="114" t="str">
        <f t="shared" si="19"/>
        <v/>
      </c>
      <c r="AG84" s="115" t="str">
        <f>IF(D84="","",VLOOKUP(F84,'9. All Habitats + Multipliers'!$C$4:$K$102,5,FALSE))</f>
        <v/>
      </c>
      <c r="AH84" s="116" t="str">
        <f>IF(AG84="","",VLOOKUP(AG84,'11. Lists'!$S$47:$U$50,2,FALSE))</f>
        <v/>
      </c>
      <c r="AI84" s="114" t="str">
        <f t="shared" si="20"/>
        <v/>
      </c>
      <c r="AJ84" s="93" t="str">
        <f>IF(AI84="","",VLOOKUP(AI84,'11. Lists'!$F$47:$G$51,2,FALSE))</f>
        <v/>
      </c>
      <c r="AK84" s="347"/>
      <c r="AL84" s="347"/>
      <c r="AM84" s="347"/>
      <c r="AN84" s="94" t="str">
        <f t="shared" si="21"/>
        <v/>
      </c>
      <c r="AO84" s="118" t="str">
        <f>IF(AN84="","",VLOOKUP(AN84,'11. Lists'!$F$36:$H$38,2,FALSE))</f>
        <v/>
      </c>
      <c r="AP84" s="116" t="str">
        <f>IF(AN84="","",VLOOKUP(AN84,'11. Lists'!$F$36:$H$38,3,FALSE))</f>
        <v/>
      </c>
      <c r="AQ84" s="115" t="str">
        <f>IF(D84="","",IF(AX84="Distinctiveness","N/A",VLOOKUP(F84,'10. Condition and Temporal'!$B$6:$L$103,11,FALSE)))</f>
        <v/>
      </c>
      <c r="AR84" s="119" t="str">
        <f>IF(AQ84="","",IF(AQ84="N/A","1",VLOOKUP(AQ84,'11. Lists'!$I$47:$K$80,3,FALSE)))</f>
        <v/>
      </c>
      <c r="AS84" s="135" t="str">
        <f>IF(D84="","",IF(AX84="Condition","N/A",VLOOKUP(F84,'10. Condition and Temporal'!$B$6:$M$106,12,FALSE)))</f>
        <v/>
      </c>
      <c r="AT84" s="119" t="str">
        <f>IF(AS84="","",IF(AS84="N/A","1",VLOOKUP(AS84,'11. Lists'!$I$47:$K$80,3,FALSE)))</f>
        <v/>
      </c>
      <c r="AU84" s="118" t="str">
        <f>IF(D84="","",VLOOKUP(F84,'9. All Habitats + Multipliers'!$C$4:$K$102,8,FALSE))</f>
        <v/>
      </c>
      <c r="AV84" s="116" t="str">
        <f>IF(AU84="","",VLOOKUP(AU84,'11. Lists'!$J$35:$K$38,2,FALSE))</f>
        <v/>
      </c>
      <c r="AW84" s="115" t="str">
        <f>IF(D84="","",VLOOKUP(D84,'10. Condition and Temporal'!$B$6:$M$103,4,FALSE))</f>
        <v/>
      </c>
      <c r="AX84" s="116" t="str">
        <f t="shared" si="22"/>
        <v/>
      </c>
      <c r="AZ84" s="210"/>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8" t="str">
        <f t="shared" si="49"/>
        <v/>
      </c>
      <c r="BW84" s="95" t="s">
        <v>184</v>
      </c>
      <c r="BX84" s="95">
        <f>BT64</f>
        <v>0</v>
      </c>
    </row>
    <row r="85" spans="1:76" s="25" customFormat="1" ht="16.5" thickBot="1" x14ac:dyDescent="0.3">
      <c r="B85" s="269">
        <v>20</v>
      </c>
      <c r="C85" s="139" t="str">
        <f t="shared" si="12"/>
        <v/>
      </c>
      <c r="D85" s="428" t="str">
        <f t="shared" si="43"/>
        <v/>
      </c>
      <c r="E85" s="171" t="str">
        <f t="shared" si="13"/>
        <v/>
      </c>
      <c r="F85" s="668"/>
      <c r="G85" s="669"/>
      <c r="H85" s="168" t="str">
        <f t="shared" si="14"/>
        <v/>
      </c>
      <c r="I85" s="429" t="str">
        <f t="shared" si="44"/>
        <v/>
      </c>
      <c r="J85" s="869" t="str">
        <f>IFERROR(IF(F85="","",VLOOKUP(F85,'10. Condition and Temporal'!$B$6:$F$103,5,FALSE)), "Error ▲")</f>
        <v/>
      </c>
      <c r="K85" s="870"/>
      <c r="L85" s="430" t="str">
        <f t="shared" si="45"/>
        <v/>
      </c>
      <c r="M85" s="874" t="str">
        <f t="shared" si="46"/>
        <v/>
      </c>
      <c r="N85" s="857"/>
      <c r="O85" s="75"/>
      <c r="P85" s="14"/>
      <c r="R85" s="646"/>
      <c r="T85" s="181" t="str">
        <f t="shared" si="15"/>
        <v/>
      </c>
      <c r="U85" s="115" t="str">
        <f t="shared" si="47"/>
        <v/>
      </c>
      <c r="V85" s="116" t="str">
        <f t="shared" si="16"/>
        <v/>
      </c>
      <c r="W85" s="115" t="str">
        <f t="shared" si="16"/>
        <v/>
      </c>
      <c r="X85" s="95" t="str">
        <f t="shared" si="16"/>
        <v/>
      </c>
      <c r="Y85" s="347"/>
      <c r="Z85" s="347"/>
      <c r="AA85" s="347"/>
      <c r="AB85" s="95" t="str">
        <f t="shared" si="17"/>
        <v/>
      </c>
      <c r="AC85" s="117" t="str">
        <f t="shared" si="18"/>
        <v/>
      </c>
      <c r="AD85" s="116" t="str">
        <f t="shared" si="50"/>
        <v/>
      </c>
      <c r="AE85" s="183" t="str">
        <f t="shared" si="48"/>
        <v/>
      </c>
      <c r="AF85" s="114" t="str">
        <f t="shared" si="19"/>
        <v/>
      </c>
      <c r="AG85" s="115" t="str">
        <f>IF(D85="","",VLOOKUP(F85,'9. All Habitats + Multipliers'!$C$4:$K$102,5,FALSE))</f>
        <v/>
      </c>
      <c r="AH85" s="116" t="str">
        <f>IF(AG85="","",VLOOKUP(AG85,'11. Lists'!$S$47:$U$50,2,FALSE))</f>
        <v/>
      </c>
      <c r="AI85" s="114" t="str">
        <f t="shared" si="20"/>
        <v/>
      </c>
      <c r="AJ85" s="98" t="str">
        <f>IF(AI85="","",VLOOKUP(AI85,'11. Lists'!$F$47:$G$51,2,FALSE))</f>
        <v/>
      </c>
      <c r="AK85" s="368"/>
      <c r="AL85" s="368"/>
      <c r="AM85" s="368"/>
      <c r="AN85" s="99" t="str">
        <f t="shared" si="21"/>
        <v/>
      </c>
      <c r="AO85" s="118" t="str">
        <f>IF(AN85="","",VLOOKUP(AN85,'11. Lists'!$F$36:$H$38,2,FALSE))</f>
        <v/>
      </c>
      <c r="AP85" s="116" t="str">
        <f>IF(AN85="","",VLOOKUP(AN85,'11. Lists'!$F$36:$H$38,3,FALSE))</f>
        <v/>
      </c>
      <c r="AQ85" s="115" t="str">
        <f>IF(D85="","",IF(AX85="Distinctiveness","N/A",VLOOKUP(F85,'10. Condition and Temporal'!$B$6:$L$103,11,FALSE)))</f>
        <v/>
      </c>
      <c r="AR85" s="119" t="str">
        <f>IF(AQ85="","",IF(AQ85="N/A","1",VLOOKUP(AQ85,'11. Lists'!$I$47:$K$80,3,FALSE)))</f>
        <v/>
      </c>
      <c r="AS85" s="135" t="str">
        <f>IF(D85="","",IF(AX85="Condition","N/A",VLOOKUP(F85,'10. Condition and Temporal'!$B$6:$M$106,12,FALSE)))</f>
        <v/>
      </c>
      <c r="AT85" s="119" t="str">
        <f>IF(AS85="","",IF(AS85="N/A","1",VLOOKUP(AS85,'11. Lists'!$I$47:$K$80,3,FALSE)))</f>
        <v/>
      </c>
      <c r="AU85" s="118" t="str">
        <f>IF(D85="","",VLOOKUP(F85,'9. All Habitats + Multipliers'!$C$4:$K$102,8,FALSE))</f>
        <v/>
      </c>
      <c r="AV85" s="116" t="str">
        <f>IF(AU85="","",VLOOKUP(AU85,'11. Lists'!$J$35:$K$38,2,FALSE))</f>
        <v/>
      </c>
      <c r="AW85" s="115" t="str">
        <f>IF(D85="","",VLOOKUP(D85,'10. Condition and Temporal'!$B$6:$M$103,4,FALSE))</f>
        <v/>
      </c>
      <c r="AX85" s="116" t="str">
        <f t="shared" si="22"/>
        <v/>
      </c>
      <c r="AZ85" s="210"/>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8" t="str">
        <f t="shared" si="49"/>
        <v/>
      </c>
      <c r="BW85" s="95" t="s">
        <v>185</v>
      </c>
      <c r="BX85" s="95">
        <f>BU64</f>
        <v>0</v>
      </c>
    </row>
    <row r="86" spans="1:76" s="25" customFormat="1" ht="15.75" thickBot="1" x14ac:dyDescent="0.3">
      <c r="H86" s="272" t="s">
        <v>236</v>
      </c>
      <c r="I86" s="326">
        <f>SUM(I66:I85)</f>
        <v>0</v>
      </c>
      <c r="J86" s="422"/>
      <c r="L86" s="399">
        <f>SUM(L66:L85)</f>
        <v>0</v>
      </c>
      <c r="M86" s="856">
        <f>SUM(M66:N85)</f>
        <v>0</v>
      </c>
      <c r="N86" s="857"/>
      <c r="R86" s="646"/>
    </row>
    <row r="87" spans="1:76" s="25" customFormat="1" x14ac:dyDescent="0.25">
      <c r="C87" s="26"/>
      <c r="R87" s="646"/>
    </row>
    <row r="88" spans="1:76" s="25" customFormat="1" x14ac:dyDescent="0.25">
      <c r="R88" s="646"/>
    </row>
    <row r="89" spans="1:76" s="25" customFormat="1" ht="19.149999999999999" customHeight="1" x14ac:dyDescent="0.25">
      <c r="R89" s="646"/>
    </row>
    <row r="90" spans="1:76" s="25" customFormat="1" x14ac:dyDescent="0.25">
      <c r="R90" s="646"/>
    </row>
    <row r="91" spans="1:76" s="25" customFormat="1" x14ac:dyDescent="0.25">
      <c r="A91" s="724" t="s">
        <v>200</v>
      </c>
      <c r="B91" s="724"/>
      <c r="C91" s="724"/>
      <c r="D91" s="724"/>
      <c r="E91" s="724"/>
      <c r="F91" s="724"/>
      <c r="G91" s="724"/>
      <c r="H91" s="724"/>
      <c r="I91" s="724"/>
      <c r="J91" s="724"/>
      <c r="K91" s="724"/>
      <c r="L91" s="724"/>
      <c r="M91" s="724"/>
      <c r="N91" s="724"/>
      <c r="O91" s="724"/>
      <c r="P91" s="724"/>
      <c r="Q91" s="724"/>
      <c r="R91" s="646"/>
    </row>
    <row r="92" spans="1:76" s="25" customFormat="1" x14ac:dyDescent="0.25">
      <c r="A92" s="724"/>
      <c r="B92" s="724"/>
      <c r="C92" s="724"/>
      <c r="D92" s="724"/>
      <c r="E92" s="724"/>
      <c r="F92" s="724"/>
      <c r="G92" s="724"/>
      <c r="H92" s="724"/>
      <c r="I92" s="724"/>
      <c r="J92" s="724"/>
      <c r="K92" s="724"/>
      <c r="L92" s="724"/>
      <c r="M92" s="724"/>
      <c r="N92" s="724"/>
      <c r="O92" s="724"/>
      <c r="P92" s="724"/>
      <c r="Q92" s="724"/>
      <c r="R92" s="646"/>
    </row>
    <row r="93" spans="1:76" s="25" customFormat="1" x14ac:dyDescent="0.25">
      <c r="A93" s="724"/>
      <c r="B93" s="724"/>
      <c r="C93" s="724"/>
      <c r="D93" s="724"/>
      <c r="E93" s="724"/>
      <c r="F93" s="724"/>
      <c r="G93" s="724"/>
      <c r="H93" s="724"/>
      <c r="I93" s="724"/>
      <c r="J93" s="724"/>
      <c r="K93" s="724"/>
      <c r="L93" s="724"/>
      <c r="M93" s="724"/>
      <c r="N93" s="724"/>
      <c r="O93" s="724"/>
      <c r="P93" s="724"/>
      <c r="Q93" s="724"/>
      <c r="R93" s="646"/>
    </row>
    <row r="94" spans="1:76" s="25" customFormat="1" x14ac:dyDescent="0.25">
      <c r="R94" s="646"/>
    </row>
    <row r="95" spans="1:76" s="25" customFormat="1" ht="21" x14ac:dyDescent="0.35">
      <c r="B95" s="57" t="s">
        <v>201</v>
      </c>
      <c r="D95" s="26"/>
      <c r="E95" s="26"/>
      <c r="F95" s="26"/>
      <c r="G95" s="26"/>
      <c r="R95" s="646"/>
    </row>
    <row r="96" spans="1:76" s="25" customFormat="1" ht="15.75" thickBot="1" x14ac:dyDescent="0.3">
      <c r="R96" s="646"/>
    </row>
    <row r="97" spans="2:18" s="25" customFormat="1" ht="36.6" customHeight="1" thickBot="1" x14ac:dyDescent="0.3">
      <c r="B97" s="864" t="s">
        <v>241</v>
      </c>
      <c r="C97" s="865"/>
      <c r="D97" s="866"/>
      <c r="E97" s="867" t="str" cm="1">
        <f t="array" aca="1" ref="E97" ca="1">IF(OR(H103:H113="No ▲"),"Error - Trading Rules Not Satisfied ▲","Trading Rules Satisfied ✓")</f>
        <v>Trading Rules Satisfied ✓</v>
      </c>
      <c r="F97" s="867"/>
      <c r="G97" s="867"/>
      <c r="H97" s="867"/>
      <c r="I97" s="868"/>
      <c r="J97" s="161">
        <f ca="1">IFERROR(FIND("Error",E97),0)</f>
        <v>0</v>
      </c>
      <c r="R97" s="646"/>
    </row>
    <row r="98" spans="2:18" s="25" customFormat="1" x14ac:dyDescent="0.25">
      <c r="R98" s="646"/>
    </row>
    <row r="99" spans="2:18" s="25" customFormat="1" ht="21" x14ac:dyDescent="0.35">
      <c r="B99" s="57" t="s">
        <v>204</v>
      </c>
      <c r="R99" s="646"/>
    </row>
    <row r="100" spans="2:18" s="25" customFormat="1" x14ac:dyDescent="0.25">
      <c r="R100" s="646"/>
    </row>
    <row r="101" spans="2:18" s="25" customFormat="1" ht="15.75" thickBot="1" x14ac:dyDescent="0.3">
      <c r="R101" s="646"/>
    </row>
    <row r="102" spans="2:18" s="25" customFormat="1" ht="51" customHeight="1" thickBot="1" x14ac:dyDescent="0.3">
      <c r="B102" s="464" t="s">
        <v>142</v>
      </c>
      <c r="C102" s="459" t="s">
        <v>94</v>
      </c>
      <c r="D102" s="459" t="s">
        <v>59</v>
      </c>
      <c r="E102" s="459" t="s">
        <v>207</v>
      </c>
      <c r="F102" s="459" t="s">
        <v>208</v>
      </c>
      <c r="G102" s="459" t="s">
        <v>209</v>
      </c>
      <c r="H102" s="449" t="s">
        <v>210</v>
      </c>
      <c r="I102" s="438"/>
      <c r="R102" s="646"/>
    </row>
    <row r="103" spans="2:18" s="25" customFormat="1" ht="30.75" customHeight="1" x14ac:dyDescent="0.25">
      <c r="B103" s="911" t="s">
        <v>235</v>
      </c>
      <c r="C103" s="914" t="s">
        <v>214</v>
      </c>
      <c r="D103" s="460" t="s">
        <v>242</v>
      </c>
      <c r="E103" s="461">
        <f ca="1">SUMIF($D$11:$E$30,D103,$L$11:$L$30)</f>
        <v>0</v>
      </c>
      <c r="F103" s="461">
        <f>IF($I$31+$I$59+$I$86=0,0,SUMIF($D$39:$D$58,D103,$L$39:$N$58)+SUMIF($F$66:$G$85,D103,$L$66:$L$85)+SUMIF($D$11:$E$30,D103,$AE$11:$AE$30))</f>
        <v>0</v>
      </c>
      <c r="G103" s="461">
        <f ca="1">$F$103-$E$103</f>
        <v>0</v>
      </c>
      <c r="H103" s="848" t="str">
        <f ca="1">IF(G108&gt;=0, "Yes ✓", "No ▲")</f>
        <v>Yes ✓</v>
      </c>
      <c r="I103" s="438"/>
      <c r="R103" s="646"/>
    </row>
    <row r="104" spans="2:18" s="25" customFormat="1" ht="30.75" customHeight="1" x14ac:dyDescent="0.25">
      <c r="B104" s="912"/>
      <c r="C104" s="915"/>
      <c r="D104" s="440" t="s">
        <v>243</v>
      </c>
      <c r="E104" s="441">
        <f t="shared" ref="E104:E113" ca="1" si="51">SUMIF($D$11:$E$30,D104,$L$11:$L$30)</f>
        <v>0</v>
      </c>
      <c r="F104" s="441">
        <f t="shared" ref="F104:F113" si="52">IF($I$31+$I$59+$I$86=0,0,SUMIF($D$39:$D$58,D104,$L$39:$N$58)+SUMIF($F$66:$G$85,D104,$L$66:$L$85)+SUMIF($D$11:$E$30,D104,$AE$11:$AE$30))</f>
        <v>0</v>
      </c>
      <c r="G104" s="441">
        <f ca="1">$F$104-$E$104</f>
        <v>0</v>
      </c>
      <c r="H104" s="849"/>
      <c r="I104" s="438"/>
      <c r="R104" s="646"/>
    </row>
    <row r="105" spans="2:18" s="25" customFormat="1" ht="30.75" customHeight="1" x14ac:dyDescent="0.25">
      <c r="B105" s="912"/>
      <c r="C105" s="915"/>
      <c r="D105" s="440" t="s">
        <v>244</v>
      </c>
      <c r="E105" s="441">
        <f t="shared" ca="1" si="51"/>
        <v>0</v>
      </c>
      <c r="F105" s="441">
        <f t="shared" si="52"/>
        <v>0</v>
      </c>
      <c r="G105" s="441">
        <f ca="1">$F$105-$E$105</f>
        <v>0</v>
      </c>
      <c r="H105" s="849"/>
      <c r="I105" s="438"/>
      <c r="R105" s="646"/>
    </row>
    <row r="106" spans="2:18" s="25" customFormat="1" ht="30.75" customHeight="1" x14ac:dyDescent="0.25">
      <c r="B106" s="912"/>
      <c r="C106" s="915"/>
      <c r="D106" s="440" t="s">
        <v>245</v>
      </c>
      <c r="E106" s="441">
        <f t="shared" ca="1" si="51"/>
        <v>0</v>
      </c>
      <c r="F106" s="441">
        <f t="shared" si="52"/>
        <v>0</v>
      </c>
      <c r="G106" s="441">
        <f ca="1">$F$106-$E$106</f>
        <v>0</v>
      </c>
      <c r="H106" s="849"/>
      <c r="I106" s="438"/>
      <c r="R106" s="646"/>
    </row>
    <row r="107" spans="2:18" s="25" customFormat="1" ht="30.75" customHeight="1" x14ac:dyDescent="0.25">
      <c r="B107" s="912"/>
      <c r="C107" s="915"/>
      <c r="D107" s="440" t="s">
        <v>246</v>
      </c>
      <c r="E107" s="441">
        <f t="shared" ca="1" si="51"/>
        <v>0</v>
      </c>
      <c r="F107" s="441">
        <f t="shared" si="52"/>
        <v>0</v>
      </c>
      <c r="G107" s="441">
        <f ca="1">$F$107-$E$107</f>
        <v>0</v>
      </c>
      <c r="H107" s="849"/>
      <c r="I107" s="161"/>
      <c r="R107" s="646"/>
    </row>
    <row r="108" spans="2:18" s="25" customFormat="1" ht="30.75" customHeight="1" thickBot="1" x14ac:dyDescent="0.3">
      <c r="B108" s="912"/>
      <c r="C108" s="916"/>
      <c r="D108" s="452" t="s">
        <v>247</v>
      </c>
      <c r="E108" s="453">
        <f ca="1">SUM($E$103:$E$107)</f>
        <v>0</v>
      </c>
      <c r="F108" s="453">
        <f>SUM($F$103:$F$107)</f>
        <v>0</v>
      </c>
      <c r="G108" s="453">
        <f ca="1">SUM($G$103:$G$107)</f>
        <v>0</v>
      </c>
      <c r="H108" s="850"/>
      <c r="I108" s="161">
        <f ca="1">IF($H$103="No ▲",1,0)</f>
        <v>0</v>
      </c>
      <c r="R108" s="646"/>
    </row>
    <row r="109" spans="2:18" s="25" customFormat="1" ht="30.75" customHeight="1" x14ac:dyDescent="0.25">
      <c r="B109" s="912"/>
      <c r="C109" s="914" t="s">
        <v>212</v>
      </c>
      <c r="D109" s="460" t="s">
        <v>248</v>
      </c>
      <c r="E109" s="461">
        <f t="shared" ca="1" si="51"/>
        <v>0</v>
      </c>
      <c r="F109" s="461">
        <f t="shared" si="52"/>
        <v>0</v>
      </c>
      <c r="G109" s="461">
        <f ca="1">$F$109-$E$109</f>
        <v>0</v>
      </c>
      <c r="H109" s="848" t="str">
        <f ca="1">IF(G112&gt;=0,"Yes ✓",IF(E114&gt;=0,"Yes ✓","No ▲"))</f>
        <v>Yes ✓</v>
      </c>
      <c r="I109" s="161"/>
      <c r="R109" s="646"/>
    </row>
    <row r="110" spans="2:18" s="25" customFormat="1" ht="30.75" customHeight="1" x14ac:dyDescent="0.25">
      <c r="B110" s="912"/>
      <c r="C110" s="915"/>
      <c r="D110" s="440" t="s">
        <v>249</v>
      </c>
      <c r="E110" s="441">
        <f t="shared" ca="1" si="51"/>
        <v>0</v>
      </c>
      <c r="F110" s="441">
        <f t="shared" si="52"/>
        <v>0</v>
      </c>
      <c r="G110" s="441">
        <f ca="1">$F$110-$E$110</f>
        <v>0</v>
      </c>
      <c r="H110" s="849"/>
      <c r="I110" s="161"/>
      <c r="R110" s="646"/>
    </row>
    <row r="111" spans="2:18" s="25" customFormat="1" ht="30.75" customHeight="1" x14ac:dyDescent="0.25">
      <c r="B111" s="912"/>
      <c r="C111" s="915"/>
      <c r="D111" s="440" t="s">
        <v>250</v>
      </c>
      <c r="E111" s="441">
        <f t="shared" ca="1" si="51"/>
        <v>0</v>
      </c>
      <c r="F111" s="441">
        <f t="shared" si="52"/>
        <v>0</v>
      </c>
      <c r="G111" s="441">
        <f ca="1">$F$111-$E$111</f>
        <v>0</v>
      </c>
      <c r="H111" s="849"/>
      <c r="I111" s="161"/>
      <c r="R111" s="646"/>
    </row>
    <row r="112" spans="2:18" s="25" customFormat="1" ht="30.75" customHeight="1" thickBot="1" x14ac:dyDescent="0.3">
      <c r="B112" s="912"/>
      <c r="C112" s="916"/>
      <c r="D112" s="452" t="s">
        <v>247</v>
      </c>
      <c r="E112" s="453">
        <f ca="1">SUM($E$109:$E$111)</f>
        <v>0</v>
      </c>
      <c r="F112" s="453">
        <f>SUM($F$109:$F$111)</f>
        <v>0</v>
      </c>
      <c r="G112" s="453">
        <f ca="1">SUM($G$109:$G$111)</f>
        <v>0</v>
      </c>
      <c r="H112" s="850"/>
      <c r="I112" s="161">
        <f ca="1">IF($H$109="No ▲",1,0)</f>
        <v>0</v>
      </c>
      <c r="R112" s="646"/>
    </row>
    <row r="113" spans="2:18" s="25" customFormat="1" ht="30.75" customHeight="1" thickBot="1" x14ac:dyDescent="0.3">
      <c r="B113" s="913"/>
      <c r="C113" s="454" t="s">
        <v>251</v>
      </c>
      <c r="D113" s="462" t="s">
        <v>252</v>
      </c>
      <c r="E113" s="463">
        <f t="shared" ca="1" si="51"/>
        <v>0</v>
      </c>
      <c r="F113" s="463">
        <f t="shared" si="52"/>
        <v>0</v>
      </c>
      <c r="G113" s="463">
        <f ca="1">$F$113-$E$113</f>
        <v>0</v>
      </c>
      <c r="H113" s="457" t="str">
        <f ca="1">IF(G113&gt;=0,"Yes✓",IF(F114&gt;=0,"Yes ✓","No ▲"))</f>
        <v>Yes✓</v>
      </c>
      <c r="I113" s="161">
        <f ca="1">IF($H$113="No ▲",1,0)</f>
        <v>0</v>
      </c>
      <c r="R113" s="646"/>
    </row>
    <row r="114" spans="2:18" s="25" customFormat="1" ht="15.75" thickBot="1" x14ac:dyDescent="0.3">
      <c r="E114" s="465">
        <f ca="1">G108+G112</f>
        <v>0</v>
      </c>
      <c r="F114" s="442">
        <f ca="1">IF(G108&lt;0,0,($G$108+$G$112+$G$113))</f>
        <v>0</v>
      </c>
      <c r="I114" s="438"/>
      <c r="R114" s="646"/>
    </row>
    <row r="115" spans="2:18" s="25" customFormat="1" ht="24.75" customHeight="1" x14ac:dyDescent="0.25">
      <c r="B115" s="917" t="s">
        <v>253</v>
      </c>
      <c r="C115" s="630"/>
      <c r="D115" s="630"/>
      <c r="E115" s="630"/>
      <c r="F115" s="445">
        <f ca="1">$G$108</f>
        <v>0</v>
      </c>
      <c r="G115" s="442">
        <f ca="1">IF($G$108&lt;=0,0,($G$108+$G$112))</f>
        <v>0</v>
      </c>
      <c r="I115" s="438"/>
      <c r="R115" s="646"/>
    </row>
    <row r="116" spans="2:18" s="25" customFormat="1" ht="21.75" customHeight="1" x14ac:dyDescent="0.25">
      <c r="B116" s="908" t="s">
        <v>254</v>
      </c>
      <c r="C116" s="909"/>
      <c r="D116" s="909"/>
      <c r="E116" s="909"/>
      <c r="F116" s="447">
        <f ca="1">IF($G$108&gt;0,($G$112+$G$108),$G$112)</f>
        <v>0</v>
      </c>
      <c r="G116" s="442">
        <f ca="1">IF($G$108&lt;=0,0,($G$108+$G$112+$G$113))</f>
        <v>0</v>
      </c>
      <c r="R116" s="646"/>
    </row>
    <row r="117" spans="2:18" s="25" customFormat="1" ht="24" customHeight="1" thickBot="1" x14ac:dyDescent="0.3">
      <c r="B117" s="910" t="s">
        <v>255</v>
      </c>
      <c r="C117" s="628"/>
      <c r="D117" s="628"/>
      <c r="E117" s="628"/>
      <c r="F117" s="446">
        <f ca="1">IF($F$116&gt;0,($F$116+$G$113),$G$113)</f>
        <v>0</v>
      </c>
      <c r="G117" s="442"/>
      <c r="R117" s="646"/>
    </row>
    <row r="118" spans="2:18" s="25" customFormat="1" x14ac:dyDescent="0.25">
      <c r="G118" s="442"/>
      <c r="R118" s="646"/>
    </row>
    <row r="119" spans="2:18" s="25" customFormat="1" x14ac:dyDescent="0.25">
      <c r="R119" s="646"/>
    </row>
    <row r="120" spans="2:18" s="25" customFormat="1" x14ac:dyDescent="0.25">
      <c r="R120" s="646"/>
    </row>
    <row r="121" spans="2:18" s="25" customFormat="1" x14ac:dyDescent="0.25">
      <c r="R121" s="646"/>
    </row>
    <row r="122" spans="2:18" s="25" customFormat="1" x14ac:dyDescent="0.25">
      <c r="R122" s="646"/>
    </row>
    <row r="123" spans="2:18" s="25" customFormat="1" x14ac:dyDescent="0.25">
      <c r="R123" s="646"/>
    </row>
    <row r="124" spans="2:18" s="25" customFormat="1" x14ac:dyDescent="0.25">
      <c r="R124" s="646"/>
    </row>
    <row r="125" spans="2:18" s="25" customFormat="1" x14ac:dyDescent="0.25">
      <c r="R125" s="646"/>
    </row>
    <row r="126" spans="2:18" s="25" customFormat="1" x14ac:dyDescent="0.25">
      <c r="R126" s="646"/>
    </row>
    <row r="127" spans="2:18" s="25" customFormat="1" x14ac:dyDescent="0.25">
      <c r="R127" s="646"/>
    </row>
  </sheetData>
  <sheetProtection algorithmName="SHA-512" hashValue="rb1sFu78sV1Iy5iQ5N0pwfYiq6ZFpT8TXLzbemx4XNWWscJnOA5YYQ7KGSVscBVi75Sm7siAAsdUZ5FzrrO4VA==" saltValue="BiVdvE71Hi3w7CrQkTPBL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cellIs" dxfId="115" priority="112" operator="equal">
      <formula>"Any loss Unacceptable"</formula>
    </cfRule>
    <cfRule type="expression" dxfId="114" priority="114">
      <formula>"p18=""Avoid"""</formula>
    </cfRule>
  </conditionalFormatting>
  <conditionalFormatting sqref="I59:K59">
    <cfRule type="cellIs" dxfId="113" priority="7" operator="greaterThan">
      <formula>5000</formula>
    </cfRule>
  </conditionalFormatting>
  <conditionalFormatting sqref="I32:N32">
    <cfRule type="containsText" dxfId="112" priority="97" operator="containsText" text="acceptable">
      <formula>NOT(ISERROR(SEARCH("acceptable",I32)))</formula>
    </cfRule>
    <cfRule type="containsText" dxfId="111" priority="96" operator="containsText" text="error">
      <formula>NOT(ISERROR(SEARCH("error",I32)))</formula>
    </cfRule>
  </conditionalFormatting>
  <conditionalFormatting sqref="I33:N33">
    <cfRule type="containsText" dxfId="110" priority="10" operator="containsText" text="▲">
      <formula>NOT(ISERROR(SEARCH("▲",I33)))</formula>
    </cfRule>
    <cfRule type="containsText" dxfId="109" priority="11"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expression" dxfId="100" priority="49">
      <formula>"p18=""Avoid"""</formula>
    </cfRule>
    <cfRule type="cellIs" dxfId="99" priority="47" operator="equal">
      <formula>"Any loss Unacceptable"</formula>
    </cfRule>
  </conditionalFormatting>
  <conditionalFormatting sqref="L39:M58">
    <cfRule type="cellIs" dxfId="98" priority="26" operator="equal">
      <formula>"Compensation Agreed"</formula>
    </cfRule>
    <cfRule type="cellIs" dxfId="97" priority="24" operator="equal">
      <formula>"Alternative Compensation"</formula>
    </cfRule>
    <cfRule type="cellIs" dxfId="96" priority="25" operator="equal">
      <formula>"Unacceptable Loss"</formula>
    </cfRule>
  </conditionalFormatting>
  <conditionalFormatting sqref="L66:M85">
    <cfRule type="cellIs" dxfId="95" priority="15" operator="equal">
      <formula>"Compensation Agreed"</formula>
    </cfRule>
    <cfRule type="cellIs" dxfId="94" priority="14" operator="equal">
      <formula>"Unacceptable Loss"</formula>
    </cfRule>
    <cfRule type="cellIs" dxfId="93" priority="13" operator="equal">
      <formula>"Alternative Compensation"</formula>
    </cfRule>
  </conditionalFormatting>
  <conditionalFormatting sqref="L86:M86">
    <cfRule type="cellIs" dxfId="92" priority="109" operator="equal">
      <formula>"Any loss Unacceptable"</formula>
    </cfRule>
    <cfRule type="expression" dxfId="91" priority="111">
      <formula>"p18=""Avoid"""</formula>
    </cfRule>
  </conditionalFormatting>
  <conditionalFormatting sqref="L39:N58">
    <cfRule type="containsText" dxfId="90" priority="23" operator="containsText" text="value">
      <formula>NOT(ISERROR(SEARCH("value",L39)))</formula>
    </cfRule>
    <cfRule type="containsText" dxfId="89" priority="22" operator="containsText" text="▲">
      <formula>NOT(ISERROR(SEARCH("▲",L39)))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39" operator="equal">
      <formula>"Unacceptable Loss"</formula>
    </cfRule>
    <cfRule type="cellIs" dxfId="85" priority="40" operator="equal">
      <formula>"Compensation Agreed"</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5" zeroHeight="1" x14ac:dyDescent="0.25"/>
  <cols>
    <col min="1" max="1" width="4.5703125" customWidth="1"/>
    <col min="2" max="2" width="14.7109375" customWidth="1"/>
    <col min="3" max="3" width="24.42578125" customWidth="1"/>
    <col min="4" max="4" width="40.28515625" customWidth="1"/>
    <col min="5" max="5" width="27" customWidth="1"/>
    <col min="6" max="6" width="20.5703125" customWidth="1"/>
    <col min="7" max="7" width="33.28515625" customWidth="1"/>
    <col min="8" max="8" width="35.28515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28515625" customWidth="1"/>
    <col min="20" max="20" width="14.42578125" customWidth="1"/>
    <col min="21" max="21" width="14.7109375" customWidth="1"/>
    <col min="22" max="22" width="20.7109375" bestFit="1" customWidth="1"/>
    <col min="23" max="23" width="23.7109375" customWidth="1"/>
    <col min="24" max="24" width="16.71093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77" customWidth="1"/>
    <col min="37" max="37" width="4.42578125" style="477" hidden="1" customWidth="1"/>
    <col min="38" max="38" width="5.28515625" style="477" hidden="1" customWidth="1"/>
    <col min="39" max="39" width="6.7109375" style="477" hidden="1" customWidth="1"/>
    <col min="40" max="40" width="12.28515625" style="477" customWidth="1"/>
    <col min="41" max="41" width="34.28515625" bestFit="1" customWidth="1"/>
    <col min="42" max="42" width="19.7109375" bestFit="1" customWidth="1"/>
    <col min="43" max="43" width="16.28515625" bestFit="1" customWidth="1"/>
    <col min="44" max="47" width="27.28515625" customWidth="1"/>
    <col min="48" max="48" width="21.28515625" bestFit="1" customWidth="1"/>
    <col min="49" max="49" width="37.5703125" customWidth="1"/>
    <col min="50" max="50" width="68.28515625" customWidth="1"/>
    <col min="51" max="51" width="26.5703125" customWidth="1"/>
    <col min="52" max="52" width="24.42578125" customWidth="1"/>
    <col min="53" max="81" width="8.7109375" customWidth="1"/>
    <col min="82" max="16384" width="8.7109375" hidden="1"/>
  </cols>
  <sheetData>
    <row r="1" spans="1:44" s="25" customFormat="1" ht="15.75" customHeight="1" thickBot="1" x14ac:dyDescent="0.3">
      <c r="I1" s="52"/>
      <c r="J1" s="52"/>
      <c r="K1" s="52"/>
      <c r="L1" s="52"/>
      <c r="M1" s="52"/>
      <c r="N1" s="52"/>
      <c r="O1" s="158" t="s">
        <v>63</v>
      </c>
      <c r="P1" s="281">
        <f>IFERROR(SUM(AE11:AE30), "Error ▲")</f>
        <v>0</v>
      </c>
      <c r="R1" s="646" t="s">
        <v>64</v>
      </c>
      <c r="T1" s="26"/>
      <c r="AJ1" s="161"/>
      <c r="AK1" s="161"/>
      <c r="AL1" s="161"/>
      <c r="AM1" s="161"/>
      <c r="AN1" s="161"/>
    </row>
    <row r="2" spans="1:44" s="25" customFormat="1" ht="19.899999999999999" customHeight="1" x14ac:dyDescent="0.3">
      <c r="B2" s="80" t="s">
        <v>65</v>
      </c>
      <c r="C2" s="820" t="str">
        <f>IF('2. Site Details'!D4="","Enter site name on 2. Site Details",'2. Site Details'!D4)</f>
        <v>Land to the Rear of 292 Henley Road, Reading</v>
      </c>
      <c r="D2" s="821"/>
      <c r="F2" s="765" t="s">
        <v>256</v>
      </c>
      <c r="G2" s="766"/>
      <c r="H2" s="767"/>
      <c r="I2" s="81"/>
      <c r="J2" s="779" t="str" cm="1">
        <f t="array" aca="1" ref="J2" ca="1">IFERROR(IF(OR((ISNUMBER(SEARCH("▲",A7:Q101)))),"Input Errors Present On Sheet - Red Cells Or ▲ Highlight Errors","All Key Rules Satisfied ✓ "),"Technical Errors On Sheet ▲")</f>
        <v xml:space="preserve">All Key Rules Satisfied ✓ </v>
      </c>
      <c r="K2" s="779"/>
      <c r="L2" s="779"/>
      <c r="M2" s="779"/>
      <c r="N2" s="81"/>
      <c r="O2" s="83" t="s">
        <v>67</v>
      </c>
      <c r="P2" s="281">
        <f>IFERROR(N31, "Error ▲")</f>
        <v>0</v>
      </c>
      <c r="R2" s="646"/>
      <c r="T2" s="26"/>
      <c r="AJ2" s="161"/>
      <c r="AK2" s="161"/>
      <c r="AL2" s="161"/>
      <c r="AM2" s="161"/>
      <c r="AN2" s="161"/>
    </row>
    <row r="3" spans="1:44" s="25" customFormat="1" ht="19.899999999999999" customHeight="1" thickBot="1" x14ac:dyDescent="0.35">
      <c r="B3" s="82" t="s">
        <v>16</v>
      </c>
      <c r="C3" s="822" t="s">
        <v>257</v>
      </c>
      <c r="D3" s="823"/>
      <c r="F3" s="768"/>
      <c r="G3" s="769"/>
      <c r="H3" s="770"/>
      <c r="I3" s="81"/>
      <c r="J3" s="779"/>
      <c r="K3" s="779"/>
      <c r="L3" s="779"/>
      <c r="M3" s="779"/>
      <c r="N3" s="81"/>
      <c r="O3" s="83" t="s">
        <v>69</v>
      </c>
      <c r="P3" s="281">
        <f>IFERROR(L59, "Error ▲")</f>
        <v>0</v>
      </c>
      <c r="R3" s="646"/>
      <c r="T3" s="26"/>
      <c r="AJ3" s="161"/>
      <c r="AK3" s="161"/>
      <c r="AL3" s="161"/>
      <c r="AM3" s="161"/>
      <c r="AN3" s="161"/>
    </row>
    <row r="4" spans="1:44" s="25" customFormat="1" ht="19.899999999999999" customHeight="1" x14ac:dyDescent="0.25">
      <c r="B4" s="84"/>
      <c r="C4" s="84"/>
      <c r="D4" s="84"/>
      <c r="F4" s="768"/>
      <c r="G4" s="769"/>
      <c r="H4" s="770"/>
      <c r="I4" s="81"/>
      <c r="J4" s="779"/>
      <c r="K4" s="779"/>
      <c r="L4" s="779"/>
      <c r="M4" s="779"/>
      <c r="N4" s="81"/>
      <c r="O4" s="83" t="s">
        <v>70</v>
      </c>
      <c r="P4" s="281">
        <f>IFERROR(L86, "Error ▲")</f>
        <v>0</v>
      </c>
      <c r="R4" s="646"/>
      <c r="T4" s="26"/>
      <c r="AJ4" s="161"/>
      <c r="AK4" s="161"/>
      <c r="AL4" s="161"/>
      <c r="AM4" s="161"/>
      <c r="AN4" s="161"/>
    </row>
    <row r="5" spans="1:44" s="25" customFormat="1" ht="19.899999999999999" customHeight="1" thickBot="1" x14ac:dyDescent="0.3">
      <c r="A5" s="85"/>
      <c r="F5" s="768"/>
      <c r="G5" s="769"/>
      <c r="H5" s="770"/>
      <c r="I5" s="81"/>
      <c r="J5" s="779"/>
      <c r="K5" s="779"/>
      <c r="L5" s="779"/>
      <c r="M5" s="779"/>
      <c r="N5" s="81"/>
      <c r="O5" s="86" t="s">
        <v>71</v>
      </c>
      <c r="P5" s="282">
        <f>IFERROR(P1+L59+L86-L31, "Error ▲")</f>
        <v>0</v>
      </c>
      <c r="R5" s="646"/>
      <c r="T5" s="26"/>
      <c r="AJ5" s="161"/>
      <c r="AK5" s="161"/>
      <c r="AL5" s="161"/>
      <c r="AM5" s="161"/>
      <c r="AN5" s="161"/>
    </row>
    <row r="6" spans="1:44" s="25" customFormat="1" ht="13.15" customHeight="1" thickBot="1" x14ac:dyDescent="0.3">
      <c r="A6" s="85"/>
      <c r="F6" s="771"/>
      <c r="G6" s="772"/>
      <c r="H6" s="773"/>
      <c r="I6" s="52"/>
      <c r="J6" s="52"/>
      <c r="K6" s="26"/>
      <c r="L6" s="52"/>
      <c r="M6" s="52"/>
      <c r="N6" s="52"/>
      <c r="O6" s="87"/>
      <c r="P6" s="26"/>
      <c r="R6" s="646"/>
      <c r="T6" s="26"/>
      <c r="AJ6" s="161"/>
      <c r="AK6" s="161"/>
      <c r="AL6" s="161"/>
      <c r="AM6" s="161"/>
      <c r="AN6" s="161"/>
      <c r="AR6" s="161"/>
    </row>
    <row r="7" spans="1:44" s="25" customFormat="1" ht="19.149999999999999" customHeight="1" x14ac:dyDescent="0.35">
      <c r="B7" s="57" t="s">
        <v>72</v>
      </c>
      <c r="D7" s="88"/>
      <c r="H7" s="26"/>
      <c r="K7" s="26"/>
      <c r="L7" s="504"/>
      <c r="M7" s="30"/>
      <c r="N7" s="30"/>
      <c r="R7" s="646"/>
      <c r="T7" s="26"/>
      <c r="AJ7" s="161"/>
      <c r="AK7" s="161"/>
      <c r="AL7" s="161"/>
      <c r="AM7" s="161"/>
      <c r="AN7" s="161"/>
      <c r="AR7" s="161"/>
    </row>
    <row r="8" spans="1:44" s="25" customFormat="1" ht="10.9" customHeight="1" thickBot="1" x14ac:dyDescent="0.3">
      <c r="A8" s="89"/>
      <c r="R8" s="646"/>
      <c r="AJ8" s="161"/>
      <c r="AK8" s="161"/>
      <c r="AL8" s="161"/>
      <c r="AM8" s="161"/>
      <c r="AN8" s="161"/>
      <c r="AR8" s="161"/>
    </row>
    <row r="9" spans="1:44" s="25" customFormat="1" ht="29.65" customHeight="1" thickBot="1" x14ac:dyDescent="0.3">
      <c r="A9" s="89"/>
      <c r="B9" s="728" t="s">
        <v>58</v>
      </c>
      <c r="C9" s="717" t="s">
        <v>73</v>
      </c>
      <c r="D9" s="718"/>
      <c r="E9" s="719"/>
      <c r="F9" s="749" t="s">
        <v>74</v>
      </c>
      <c r="G9" s="750"/>
      <c r="H9" s="751"/>
      <c r="I9" s="717" t="s">
        <v>258</v>
      </c>
      <c r="J9" s="718"/>
      <c r="K9" s="719"/>
      <c r="L9" s="746" t="s">
        <v>76</v>
      </c>
      <c r="M9" s="747"/>
      <c r="N9" s="748"/>
      <c r="O9" s="746" t="s">
        <v>77</v>
      </c>
      <c r="P9" s="748"/>
      <c r="R9" s="646"/>
      <c r="T9" s="674" t="s">
        <v>78</v>
      </c>
      <c r="U9" s="675"/>
      <c r="V9" s="676"/>
      <c r="W9" s="926" t="s">
        <v>79</v>
      </c>
      <c r="X9" s="928"/>
      <c r="Y9" s="756"/>
      <c r="Z9" s="756"/>
      <c r="AA9" s="756"/>
      <c r="AB9" s="926" t="s">
        <v>80</v>
      </c>
      <c r="AC9" s="927"/>
      <c r="AD9" s="928"/>
      <c r="AE9" s="674" t="s">
        <v>81</v>
      </c>
      <c r="AF9" s="675"/>
      <c r="AG9" s="676"/>
      <c r="AH9" s="674" t="s">
        <v>82</v>
      </c>
      <c r="AI9" s="907" t="s">
        <v>83</v>
      </c>
      <c r="AJ9" s="965" t="s">
        <v>259</v>
      </c>
      <c r="AK9" s="161"/>
      <c r="AL9" s="161"/>
      <c r="AM9" s="161"/>
      <c r="AN9" s="439"/>
      <c r="AR9" s="161"/>
    </row>
    <row r="10" spans="1:44" s="25" customFormat="1" ht="32.25" thickBot="1" x14ac:dyDescent="0.3">
      <c r="A10" s="89"/>
      <c r="B10" s="729"/>
      <c r="C10" s="86" t="s">
        <v>84</v>
      </c>
      <c r="D10" s="885" t="s">
        <v>85</v>
      </c>
      <c r="E10" s="886"/>
      <c r="F10" s="972"/>
      <c r="G10" s="973"/>
      <c r="H10" s="974"/>
      <c r="I10" s="86" t="s">
        <v>230</v>
      </c>
      <c r="J10" s="201" t="s">
        <v>231</v>
      </c>
      <c r="K10" s="90" t="s">
        <v>232</v>
      </c>
      <c r="L10" s="86" t="s">
        <v>233</v>
      </c>
      <c r="M10" s="201" t="s">
        <v>234</v>
      </c>
      <c r="N10" s="90" t="s">
        <v>91</v>
      </c>
      <c r="O10" s="86" t="s">
        <v>92</v>
      </c>
      <c r="P10" s="90" t="s">
        <v>93</v>
      </c>
      <c r="R10" s="646"/>
      <c r="T10" s="672" t="s">
        <v>94</v>
      </c>
      <c r="U10" s="673"/>
      <c r="V10" s="92" t="s">
        <v>95</v>
      </c>
      <c r="W10" s="377" t="s">
        <v>96</v>
      </c>
      <c r="X10" s="373" t="s">
        <v>95</v>
      </c>
      <c r="Y10" s="375"/>
      <c r="Z10" s="369"/>
      <c r="AA10" s="369"/>
      <c r="AB10" s="358" t="s">
        <v>80</v>
      </c>
      <c r="AC10" s="358" t="s">
        <v>80</v>
      </c>
      <c r="AD10" s="373" t="s">
        <v>97</v>
      </c>
      <c r="AE10" s="91" t="s">
        <v>98</v>
      </c>
      <c r="AF10" s="49" t="s">
        <v>99</v>
      </c>
      <c r="AG10" s="92" t="s">
        <v>100</v>
      </c>
      <c r="AH10" s="672"/>
      <c r="AI10" s="964"/>
      <c r="AJ10" s="965"/>
      <c r="AK10" s="161"/>
      <c r="AL10" s="161"/>
      <c r="AM10" s="161"/>
      <c r="AO10" s="439"/>
      <c r="AR10" s="161" t="s">
        <v>260</v>
      </c>
    </row>
    <row r="11" spans="1:44" s="25" customFormat="1" ht="15.75" x14ac:dyDescent="0.25">
      <c r="A11" s="89"/>
      <c r="B11" s="274">
        <v>1</v>
      </c>
      <c r="C11" s="141" t="s">
        <v>261</v>
      </c>
      <c r="D11" s="664"/>
      <c r="E11" s="664"/>
      <c r="F11" s="944"/>
      <c r="G11" s="944"/>
      <c r="H11" s="944"/>
      <c r="I11" s="478"/>
      <c r="J11" s="307"/>
      <c r="K11" s="308"/>
      <c r="L11" s="473" t="str">
        <f>IF(D11="","",IFERROR(IF(I11="","",((I11/1000)*V11*X11)*AD11*AJ11),"This intervention is not permitted within the SSM ▲"))</f>
        <v/>
      </c>
      <c r="M11" s="416" t="str">
        <f>IF(I11="","",IF(J11+K11&gt;I11,"Length Error ▲",I11-J11-K11))</f>
        <v/>
      </c>
      <c r="N11" s="473" t="str">
        <f>IFERROR(IF(I11="","",IF(M11="Length Error ▲","Length Error ▲",((M11/1000)*V11*X11)*AD11*AJ11)),"This intervention is not permitted within the SSM ▲")</f>
        <v/>
      </c>
      <c r="O11" s="68"/>
      <c r="P11" s="148"/>
      <c r="R11" s="646"/>
      <c r="T11" s="655" t="str">
        <f>IF(D11="","",VLOOKUP(D11,'9. All Habitats + Multipliers'!$C$4:$K$102,5,FALSE))</f>
        <v/>
      </c>
      <c r="U11" s="656"/>
      <c r="V11" s="96" t="str">
        <f>IF(T11="","",VLOOKUP(T11,'11. Lists'!$B$47:$D$49,2,FALSE))</f>
        <v/>
      </c>
      <c r="W11" s="93" t="str">
        <f>IF(D11="","",VLOOKUP(D11,'10. Condition and Temporal'!$B$6:$C$103,2,FALSE))</f>
        <v/>
      </c>
      <c r="X11" s="96" t="str">
        <f>IF(W11="","",VLOOKUP(W11,'11. Lists'!$F$47:$G$51,2,FALSE))</f>
        <v/>
      </c>
      <c r="Y11" s="376"/>
      <c r="Z11" s="347"/>
      <c r="AA11" s="374"/>
      <c r="AB11" s="95" t="str">
        <f>IF(F11="","",F11)</f>
        <v/>
      </c>
      <c r="AC11" s="95" t="str">
        <f>IF(AB11="","",VLOOKUP(AB11,'11. Lists'!$F$36:$H$38,2,FALSE))</f>
        <v/>
      </c>
      <c r="AD11" s="94" t="str">
        <f>IF(AB11="","",VLOOKUP(AB11,'11. Lists'!$F$36:$H$38,3,FALSE))</f>
        <v/>
      </c>
      <c r="AE11" s="302" t="str">
        <f>IF(D11="","",((J11/1000)*V11*X11)*AD11)</f>
        <v/>
      </c>
      <c r="AF11" s="303" t="str">
        <f>IF(D11="","",((K11/1000)*V11*X11)*AD11*AJ11)</f>
        <v/>
      </c>
      <c r="AG11" s="304" t="str">
        <f>IF(D11="","",M11)</f>
        <v/>
      </c>
      <c r="AH11" s="93" t="str">
        <f>IF(T11="","",VLOOKUP(T11,'11. Lists'!$B$47:$D$49,3,FALSE))</f>
        <v/>
      </c>
      <c r="AI11" s="348" t="str">
        <f>IF(D11="","",VLOOKUP(D11,'10. Condition and Temporal'!$B$6:$L$103,4,FALSE))</f>
        <v/>
      </c>
      <c r="AJ11" s="483" t="str" cm="1">
        <f t="array" ref="AJ11:AK30">IF($D$11:$E$30="Culvert","0.68","1")</f>
        <v>1</v>
      </c>
      <c r="AK11" s="161" t="str">
        <v>1</v>
      </c>
      <c r="AL11" s="161"/>
      <c r="AM11" s="161"/>
      <c r="AN11" s="439"/>
      <c r="AR11" s="161" t="str">
        <f>IF(D11="","",IFERROR(IF(I11="","",((I11/1000)*V11*X11)*AD11),"This intervention is not permitted within the SSM ▲"))</f>
        <v/>
      </c>
    </row>
    <row r="12" spans="1:44" s="25" customFormat="1" ht="15.75" x14ac:dyDescent="0.25">
      <c r="B12" s="268">
        <v>2</v>
      </c>
      <c r="C12" s="140" t="s">
        <v>261</v>
      </c>
      <c r="D12" s="664"/>
      <c r="E12" s="664"/>
      <c r="F12" s="944"/>
      <c r="G12" s="944"/>
      <c r="H12" s="944"/>
      <c r="I12" s="479"/>
      <c r="J12" s="310"/>
      <c r="K12" s="311"/>
      <c r="L12" s="474" t="str">
        <f t="shared" ref="L12:L30" si="0">IF(D12="","",IFERROR(IF(I12="","",((I12/1000)*V12*X12)*AD12*AJ12),"This intervention is not permitted within the SSM ▲"))</f>
        <v/>
      </c>
      <c r="M12" s="305" t="str">
        <f>IF(I12="","",IF(J12+K12&gt;I12,"Length Error ▲",I12-J12-K12))</f>
        <v/>
      </c>
      <c r="N12" s="474" t="str">
        <f t="shared" ref="N12:N30" si="1">IFERROR(IF(I12="","",IF(M12="Length Error ▲","Length Error ▲",((M12/1000)*V12*X12)*AD12*AJ12)),"This intervention is not permitted within the SSM ▲")</f>
        <v/>
      </c>
      <c r="O12" s="68"/>
      <c r="P12" s="3"/>
      <c r="R12" s="646"/>
      <c r="T12" s="655" t="str">
        <f>IF(D12="","",VLOOKUP(D12,'9. All Habitats + Multipliers'!$C$4:$K$102,5,FALSE))</f>
        <v/>
      </c>
      <c r="U12" s="656"/>
      <c r="V12" s="96" t="str">
        <f>IF(T12="","",VLOOKUP(T12,'11. Lists'!$B$47:$D$49,2,FALSE))</f>
        <v/>
      </c>
      <c r="W12" s="93" t="str">
        <f>IF(D12="","",VLOOKUP(D12,'10. Condition and Temporal'!$B$6:$C$103,2,FALSE))</f>
        <v/>
      </c>
      <c r="X12" s="96" t="str">
        <f>IF(W12="","",VLOOKUP(W12,'11. Lists'!$F$47:$G$51,2,FALSE))</f>
        <v/>
      </c>
      <c r="Y12" s="376"/>
      <c r="Z12" s="347"/>
      <c r="AA12" s="374"/>
      <c r="AB12" s="95" t="str">
        <f>IF(F12="","",F12)</f>
        <v/>
      </c>
      <c r="AC12" s="95" t="str">
        <f>IF(AB12="","",VLOOKUP(AB12,'11. Lists'!$F$36:$H$38,2,FALSE))</f>
        <v/>
      </c>
      <c r="AD12" s="94" t="str">
        <f>IF(AB12="","",VLOOKUP(AB12,'11. Lists'!$F$36:$H$38,3,FALSE))</f>
        <v/>
      </c>
      <c r="AE12" s="302" t="str">
        <f t="shared" ref="AE12:AE30" si="2">IF(D12="","",((J12/1000)*V12*X12)*AD12)</f>
        <v/>
      </c>
      <c r="AF12" s="303" t="str">
        <f t="shared" ref="AF12:AF30" si="3">IF(D12="","",((K12/1000)*V12*X12)*AD12*AJ12)</f>
        <v/>
      </c>
      <c r="AG12" s="304" t="str">
        <f t="shared" ref="AG12:AG30" si="4">IF(D12="","",M12)</f>
        <v/>
      </c>
      <c r="AH12" s="93" t="str">
        <f>IF(T12="","",VLOOKUP(T12,'11. Lists'!$B$47:$D$49,3,FALSE))</f>
        <v/>
      </c>
      <c r="AI12" s="348" t="str">
        <f>IF(D12="","",VLOOKUP(D12,'10. Condition and Temporal'!$B$6:$L$103,4,FALSE))</f>
        <v/>
      </c>
      <c r="AJ12" s="483" t="str">
        <v>1</v>
      </c>
      <c r="AK12" s="161" t="str">
        <v>1</v>
      </c>
      <c r="AL12" s="161"/>
      <c r="AM12" s="161"/>
      <c r="AN12" s="439"/>
      <c r="AR12" s="161" t="str">
        <f t="shared" ref="AR12:AR30" si="5">IF(D12="","",IFERROR(IF(I12="","",((I12/1000)*V12*X12)*AD12),"This intervention is not permitted within the SSM ▲"))</f>
        <v/>
      </c>
    </row>
    <row r="13" spans="1:44" s="25" customFormat="1" ht="15.75" x14ac:dyDescent="0.25">
      <c r="B13" s="268">
        <v>3</v>
      </c>
      <c r="C13" s="140" t="s">
        <v>261</v>
      </c>
      <c r="D13" s="664"/>
      <c r="E13" s="664"/>
      <c r="F13" s="944"/>
      <c r="G13" s="944"/>
      <c r="H13" s="944"/>
      <c r="I13" s="479"/>
      <c r="J13" s="310"/>
      <c r="K13" s="311"/>
      <c r="L13" s="474" t="str">
        <f t="shared" si="0"/>
        <v/>
      </c>
      <c r="M13" s="305" t="str">
        <f t="shared" ref="M13:M29" si="6">IF(I13="","",IF(J13+K13&gt;I13,"Length Error ▲",I13-J13-K13))</f>
        <v/>
      </c>
      <c r="N13" s="474" t="str">
        <f t="shared" si="1"/>
        <v/>
      </c>
      <c r="O13" s="68"/>
      <c r="P13" s="3"/>
      <c r="R13" s="646"/>
      <c r="T13" s="655" t="str">
        <f>IF(D13="","",VLOOKUP(D13,'9. All Habitats + Multipliers'!$C$4:$K$102,5,FALSE))</f>
        <v/>
      </c>
      <c r="U13" s="656"/>
      <c r="V13" s="96" t="str">
        <f>IF(T13="","",VLOOKUP(T13,'11. Lists'!$B$47:$D$49,2,FALSE))</f>
        <v/>
      </c>
      <c r="W13" s="93" t="str">
        <f>IF(D13="","",VLOOKUP(D13,'10. Condition and Temporal'!$B$6:$C$103,2,FALSE))</f>
        <v/>
      </c>
      <c r="X13" s="96" t="str">
        <f>IF(W13="","",VLOOKUP(W13,'11. Lists'!$F$47:$G$51,2,FALSE))</f>
        <v/>
      </c>
      <c r="Y13" s="376"/>
      <c r="Z13" s="347"/>
      <c r="AA13" s="374"/>
      <c r="AB13" s="95" t="str">
        <f t="shared" ref="AB13:AB30" si="7">IF(F13="","",F13)</f>
        <v/>
      </c>
      <c r="AC13" s="95" t="str">
        <f>IF(AB13="","",VLOOKUP(AB13,'11. Lists'!$F$36:$H$38,2,FALSE))</f>
        <v/>
      </c>
      <c r="AD13" s="94" t="str">
        <f>IF(AB13="","",VLOOKUP(AB13,'11. Lists'!$F$36:$H$38,3,FALSE))</f>
        <v/>
      </c>
      <c r="AE13" s="302" t="str">
        <f t="shared" si="2"/>
        <v/>
      </c>
      <c r="AF13" s="303" t="str">
        <f t="shared" si="3"/>
        <v/>
      </c>
      <c r="AG13" s="304" t="str">
        <f t="shared" si="4"/>
        <v/>
      </c>
      <c r="AH13" s="93" t="str">
        <f>IF(T13="","",VLOOKUP(T13,'11. Lists'!$B$47:$D$49,3,FALSE))</f>
        <v/>
      </c>
      <c r="AI13" s="348" t="str">
        <f>IF(D13="","",VLOOKUP(D13,'10. Condition and Temporal'!$B$6:$L$103,4,FALSE))</f>
        <v/>
      </c>
      <c r="AJ13" s="483" t="str">
        <v>1</v>
      </c>
      <c r="AK13" s="161" t="str">
        <v>1</v>
      </c>
      <c r="AL13" s="161"/>
      <c r="AM13" s="161"/>
      <c r="AN13" s="439"/>
      <c r="AR13" s="161" t="str">
        <f t="shared" si="5"/>
        <v/>
      </c>
    </row>
    <row r="14" spans="1:44" s="25" customFormat="1" ht="15.75" x14ac:dyDescent="0.25">
      <c r="B14" s="268">
        <v>4</v>
      </c>
      <c r="C14" s="140" t="s">
        <v>261</v>
      </c>
      <c r="D14" s="664"/>
      <c r="E14" s="664"/>
      <c r="F14" s="944"/>
      <c r="G14" s="944"/>
      <c r="H14" s="944"/>
      <c r="I14" s="479"/>
      <c r="J14" s="310"/>
      <c r="K14" s="311"/>
      <c r="L14" s="474" t="str">
        <f t="shared" si="0"/>
        <v/>
      </c>
      <c r="M14" s="305" t="str">
        <f t="shared" si="6"/>
        <v/>
      </c>
      <c r="N14" s="474" t="str">
        <f t="shared" si="1"/>
        <v/>
      </c>
      <c r="O14" s="68"/>
      <c r="P14" s="3"/>
      <c r="R14" s="646"/>
      <c r="T14" s="655" t="str">
        <f>IF(D14="","",VLOOKUP(D14,'9. All Habitats + Multipliers'!$C$4:$K$102,5,FALSE))</f>
        <v/>
      </c>
      <c r="U14" s="656"/>
      <c r="V14" s="96" t="str">
        <f>IF(T14="","",VLOOKUP(T14,'11. Lists'!$B$47:$D$49,2,FALSE))</f>
        <v/>
      </c>
      <c r="W14" s="93" t="str">
        <f>IF(D14="","",VLOOKUP(D14,'10. Condition and Temporal'!$B$6:$C$103,2,FALSE))</f>
        <v/>
      </c>
      <c r="X14" s="96" t="str">
        <f>IF(W14="","",VLOOKUP(W14,'11. Lists'!$F$47:$G$51,2,FALSE))</f>
        <v/>
      </c>
      <c r="Y14" s="376"/>
      <c r="Z14" s="347"/>
      <c r="AA14" s="374"/>
      <c r="AB14" s="95" t="str">
        <f t="shared" si="7"/>
        <v/>
      </c>
      <c r="AC14" s="95" t="str">
        <f>IF(AB14="","",VLOOKUP(AB14,'11. Lists'!$F$36:$H$38,2,FALSE))</f>
        <v/>
      </c>
      <c r="AD14" s="94" t="str">
        <f>IF(AB14="","",VLOOKUP(AB14,'11. Lists'!$F$36:$H$38,3,FALSE))</f>
        <v/>
      </c>
      <c r="AE14" s="302" t="str">
        <f t="shared" si="2"/>
        <v/>
      </c>
      <c r="AF14" s="303" t="str">
        <f t="shared" si="3"/>
        <v/>
      </c>
      <c r="AG14" s="304" t="str">
        <f t="shared" si="4"/>
        <v/>
      </c>
      <c r="AH14" s="93" t="str">
        <f>IF(T14="","",VLOOKUP(T14,'11. Lists'!$B$47:$D$49,3,FALSE))</f>
        <v/>
      </c>
      <c r="AI14" s="348" t="str">
        <f>IF(D14="","",VLOOKUP(D14,'10. Condition and Temporal'!$B$6:$L$103,4,FALSE))</f>
        <v/>
      </c>
      <c r="AJ14" s="483" t="str">
        <v>1</v>
      </c>
      <c r="AK14" s="161" t="str">
        <v>1</v>
      </c>
      <c r="AL14" s="161"/>
      <c r="AM14" s="161"/>
      <c r="AN14" s="439"/>
      <c r="AR14" s="161" t="str">
        <f t="shared" si="5"/>
        <v/>
      </c>
    </row>
    <row r="15" spans="1:44" s="25" customFormat="1" ht="15.75" x14ac:dyDescent="0.25">
      <c r="B15" s="268">
        <v>5</v>
      </c>
      <c r="C15" s="140" t="s">
        <v>261</v>
      </c>
      <c r="D15" s="664"/>
      <c r="E15" s="664"/>
      <c r="F15" s="944"/>
      <c r="G15" s="944"/>
      <c r="H15" s="944"/>
      <c r="I15" s="479"/>
      <c r="J15" s="310"/>
      <c r="K15" s="311"/>
      <c r="L15" s="474" t="str">
        <f t="shared" si="0"/>
        <v/>
      </c>
      <c r="M15" s="305" t="str">
        <f t="shared" si="6"/>
        <v/>
      </c>
      <c r="N15" s="474" t="str">
        <f t="shared" si="1"/>
        <v/>
      </c>
      <c r="O15" s="68"/>
      <c r="P15" s="3"/>
      <c r="R15" s="646"/>
      <c r="T15" s="655" t="str">
        <f>IF(D15="","",VLOOKUP(D15,'9. All Habitats + Multipliers'!$C$4:$K$102,5,FALSE))</f>
        <v/>
      </c>
      <c r="U15" s="656"/>
      <c r="V15" s="96" t="str">
        <f>IF(T15="","",VLOOKUP(T15,'11. Lists'!$B$47:$D$49,2,FALSE))</f>
        <v/>
      </c>
      <c r="W15" s="93" t="str">
        <f>IF(D15="","",VLOOKUP(D15,'10. Condition and Temporal'!$B$6:$C$103,2,FALSE))</f>
        <v/>
      </c>
      <c r="X15" s="96" t="str">
        <f>IF(W15="","",VLOOKUP(W15,'11. Lists'!$F$47:$G$51,2,FALSE))</f>
        <v/>
      </c>
      <c r="Y15" s="376"/>
      <c r="Z15" s="347"/>
      <c r="AA15" s="374"/>
      <c r="AB15" s="95" t="str">
        <f t="shared" si="7"/>
        <v/>
      </c>
      <c r="AC15" s="95" t="str">
        <f>IF(AB15="","",VLOOKUP(AB15,'11. Lists'!$F$36:$H$38,2,FALSE))</f>
        <v/>
      </c>
      <c r="AD15" s="94" t="str">
        <f>IF(AB15="","",VLOOKUP(AB15,'11. Lists'!$F$36:$H$38,3,FALSE))</f>
        <v/>
      </c>
      <c r="AE15" s="302" t="str">
        <f t="shared" si="2"/>
        <v/>
      </c>
      <c r="AF15" s="303" t="str">
        <f t="shared" si="3"/>
        <v/>
      </c>
      <c r="AG15" s="304" t="str">
        <f t="shared" si="4"/>
        <v/>
      </c>
      <c r="AH15" s="93" t="str">
        <f>IF(T15="","",VLOOKUP(T15,'11. Lists'!$B$47:$D$49,3,FALSE))</f>
        <v/>
      </c>
      <c r="AI15" s="348" t="str">
        <f>IF(D15="","",VLOOKUP(D15,'10. Condition and Temporal'!$B$6:$L$103,4,FALSE))</f>
        <v/>
      </c>
      <c r="AJ15" s="483" t="str">
        <v>1</v>
      </c>
      <c r="AK15" s="161" t="str">
        <v>1</v>
      </c>
      <c r="AL15" s="161"/>
      <c r="AM15" s="161"/>
      <c r="AN15" s="439"/>
      <c r="AR15" s="161" t="str">
        <f t="shared" si="5"/>
        <v/>
      </c>
    </row>
    <row r="16" spans="1:44" s="25" customFormat="1" ht="15.75" x14ac:dyDescent="0.25">
      <c r="B16" s="268">
        <v>6</v>
      </c>
      <c r="C16" s="140" t="s">
        <v>261</v>
      </c>
      <c r="D16" s="664"/>
      <c r="E16" s="664"/>
      <c r="F16" s="944"/>
      <c r="G16" s="944"/>
      <c r="H16" s="944"/>
      <c r="I16" s="479"/>
      <c r="J16" s="310"/>
      <c r="K16" s="311"/>
      <c r="L16" s="474" t="str">
        <f t="shared" si="0"/>
        <v/>
      </c>
      <c r="M16" s="305" t="str">
        <f t="shared" si="6"/>
        <v/>
      </c>
      <c r="N16" s="474" t="str">
        <f t="shared" si="1"/>
        <v/>
      </c>
      <c r="O16" s="68"/>
      <c r="P16" s="3"/>
      <c r="R16" s="646"/>
      <c r="T16" s="655" t="str">
        <f>IF(D16="","",VLOOKUP(D16,'9. All Habitats + Multipliers'!$C$4:$K$102,5,FALSE))</f>
        <v/>
      </c>
      <c r="U16" s="656"/>
      <c r="V16" s="96" t="str">
        <f>IF(T16="","",VLOOKUP(T16,'11. Lists'!$B$47:$D$49,2,FALSE))</f>
        <v/>
      </c>
      <c r="W16" s="93" t="str">
        <f>IF(D16="","",VLOOKUP(D16,'10. Condition and Temporal'!$B$6:$C$103,2,FALSE))</f>
        <v/>
      </c>
      <c r="X16" s="96" t="str">
        <f>IF(W16="","",VLOOKUP(W16,'11. Lists'!$F$47:$G$51,2,FALSE))</f>
        <v/>
      </c>
      <c r="Y16" s="376"/>
      <c r="Z16" s="347"/>
      <c r="AA16" s="374"/>
      <c r="AB16" s="95" t="str">
        <f t="shared" si="7"/>
        <v/>
      </c>
      <c r="AC16" s="95" t="str">
        <f>IF(AB16="","",VLOOKUP(AB16,'11. Lists'!$F$36:$H$38,2,FALSE))</f>
        <v/>
      </c>
      <c r="AD16" s="94" t="str">
        <f>IF(AB16="","",VLOOKUP(AB16,'11. Lists'!$F$36:$H$38,3,FALSE))</f>
        <v/>
      </c>
      <c r="AE16" s="302" t="str">
        <f t="shared" si="2"/>
        <v/>
      </c>
      <c r="AF16" s="303" t="str">
        <f t="shared" si="3"/>
        <v/>
      </c>
      <c r="AG16" s="304" t="str">
        <f t="shared" si="4"/>
        <v/>
      </c>
      <c r="AH16" s="93" t="str">
        <f>IF(T16="","",VLOOKUP(T16,'11. Lists'!$B$47:$D$49,3,FALSE))</f>
        <v/>
      </c>
      <c r="AI16" s="348" t="str">
        <f>IF(D16="","",VLOOKUP(D16,'10. Condition and Temporal'!$B$6:$L$103,4,FALSE))</f>
        <v/>
      </c>
      <c r="AJ16" s="483" t="str">
        <v>1</v>
      </c>
      <c r="AK16" s="161" t="str">
        <v>1</v>
      </c>
      <c r="AL16" s="161"/>
      <c r="AM16" s="161"/>
      <c r="AN16" s="439"/>
      <c r="AR16" s="161" t="str">
        <f t="shared" si="5"/>
        <v/>
      </c>
    </row>
    <row r="17" spans="2:44" s="25" customFormat="1" ht="15.75" x14ac:dyDescent="0.25">
      <c r="B17" s="268">
        <v>7</v>
      </c>
      <c r="C17" s="140" t="s">
        <v>261</v>
      </c>
      <c r="D17" s="664"/>
      <c r="E17" s="664"/>
      <c r="F17" s="944"/>
      <c r="G17" s="944"/>
      <c r="H17" s="944"/>
      <c r="I17" s="479"/>
      <c r="J17" s="310"/>
      <c r="K17" s="311"/>
      <c r="L17" s="474" t="str">
        <f t="shared" si="0"/>
        <v/>
      </c>
      <c r="M17" s="305" t="str">
        <f t="shared" si="6"/>
        <v/>
      </c>
      <c r="N17" s="474" t="str">
        <f t="shared" si="1"/>
        <v/>
      </c>
      <c r="O17" s="68"/>
      <c r="P17" s="3"/>
      <c r="R17" s="646"/>
      <c r="T17" s="655" t="str">
        <f>IF(D17="","",VLOOKUP(D17,'9. All Habitats + Multipliers'!$C$4:$K$102,5,FALSE))</f>
        <v/>
      </c>
      <c r="U17" s="656"/>
      <c r="V17" s="96" t="str">
        <f>IF(T17="","",VLOOKUP(T17,'11. Lists'!$B$47:$D$49,2,FALSE))</f>
        <v/>
      </c>
      <c r="W17" s="93" t="str">
        <f>IF(D17="","",VLOOKUP(D17,'10. Condition and Temporal'!$B$6:$C$103,2,FALSE))</f>
        <v/>
      </c>
      <c r="X17" s="96" t="str">
        <f>IF(W17="","",VLOOKUP(W17,'11. Lists'!$F$47:$G$51,2,FALSE))</f>
        <v/>
      </c>
      <c r="Y17" s="376"/>
      <c r="Z17" s="347"/>
      <c r="AA17" s="374"/>
      <c r="AB17" s="95" t="str">
        <f t="shared" si="7"/>
        <v/>
      </c>
      <c r="AC17" s="95" t="str">
        <f>IF(AB17="","",VLOOKUP(AB17,'11. Lists'!$F$36:$H$38,2,FALSE))</f>
        <v/>
      </c>
      <c r="AD17" s="94" t="str">
        <f>IF(AB17="","",VLOOKUP(AB17,'11. Lists'!$F$36:$H$38,3,FALSE))</f>
        <v/>
      </c>
      <c r="AE17" s="302" t="str">
        <f t="shared" si="2"/>
        <v/>
      </c>
      <c r="AF17" s="303" t="str">
        <f t="shared" si="3"/>
        <v/>
      </c>
      <c r="AG17" s="304" t="str">
        <f t="shared" si="4"/>
        <v/>
      </c>
      <c r="AH17" s="93" t="str">
        <f>IF(T17="","",VLOOKUP(T17,'11. Lists'!$B$47:$D$49,3,FALSE))</f>
        <v/>
      </c>
      <c r="AI17" s="348" t="str">
        <f>IF(D17="","",VLOOKUP(D17,'10. Condition and Temporal'!$B$6:$L$103,4,FALSE))</f>
        <v/>
      </c>
      <c r="AJ17" s="483" t="str">
        <v>1</v>
      </c>
      <c r="AK17" s="161" t="str">
        <v>1</v>
      </c>
      <c r="AL17" s="161"/>
      <c r="AM17" s="161"/>
      <c r="AN17" s="439"/>
      <c r="AR17" s="161" t="str">
        <f t="shared" si="5"/>
        <v/>
      </c>
    </row>
    <row r="18" spans="2:44" s="25" customFormat="1" ht="15.75" x14ac:dyDescent="0.25">
      <c r="B18" s="268">
        <v>8</v>
      </c>
      <c r="C18" s="140" t="s">
        <v>261</v>
      </c>
      <c r="D18" s="664"/>
      <c r="E18" s="664"/>
      <c r="F18" s="944"/>
      <c r="G18" s="944"/>
      <c r="H18" s="944"/>
      <c r="I18" s="479"/>
      <c r="J18" s="310"/>
      <c r="K18" s="311"/>
      <c r="L18" s="474" t="str">
        <f t="shared" si="0"/>
        <v/>
      </c>
      <c r="M18" s="305" t="str">
        <f t="shared" si="6"/>
        <v/>
      </c>
      <c r="N18" s="474" t="str">
        <f t="shared" si="1"/>
        <v/>
      </c>
      <c r="O18" s="68"/>
      <c r="P18" s="3"/>
      <c r="R18" s="646"/>
      <c r="T18" s="655" t="str">
        <f>IF(D18="","",VLOOKUP(D18,'9. All Habitats + Multipliers'!$C$4:$K$102,5,FALSE))</f>
        <v/>
      </c>
      <c r="U18" s="656"/>
      <c r="V18" s="96" t="str">
        <f>IF(T18="","",VLOOKUP(T18,'11. Lists'!$B$47:$D$49,2,FALSE))</f>
        <v/>
      </c>
      <c r="W18" s="93" t="str">
        <f>IF(D18="","",VLOOKUP(D18,'10. Condition and Temporal'!$B$6:$C$103,2,FALSE))</f>
        <v/>
      </c>
      <c r="X18" s="96" t="str">
        <f>IF(W18="","",VLOOKUP(W18,'11. Lists'!$F$47:$G$51,2,FALSE))</f>
        <v/>
      </c>
      <c r="Y18" s="376"/>
      <c r="Z18" s="347"/>
      <c r="AA18" s="374"/>
      <c r="AB18" s="95" t="str">
        <f t="shared" si="7"/>
        <v/>
      </c>
      <c r="AC18" s="95" t="str">
        <f>IF(AB18="","",VLOOKUP(AB18,'11. Lists'!$F$36:$H$38,2,FALSE))</f>
        <v/>
      </c>
      <c r="AD18" s="94" t="str">
        <f>IF(AB18="","",VLOOKUP(AB18,'11. Lists'!$F$36:$H$38,3,FALSE))</f>
        <v/>
      </c>
      <c r="AE18" s="302" t="str">
        <f t="shared" si="2"/>
        <v/>
      </c>
      <c r="AF18" s="303" t="str">
        <f t="shared" si="3"/>
        <v/>
      </c>
      <c r="AG18" s="304" t="str">
        <f t="shared" si="4"/>
        <v/>
      </c>
      <c r="AH18" s="93" t="str">
        <f>IF(T18="","",VLOOKUP(T18,'11. Lists'!$B$47:$D$49,3,FALSE))</f>
        <v/>
      </c>
      <c r="AI18" s="348" t="str">
        <f>IF(D18="","",VLOOKUP(D18,'10. Condition and Temporal'!$B$6:$L$103,4,FALSE))</f>
        <v/>
      </c>
      <c r="AJ18" s="483" t="str">
        <v>1</v>
      </c>
      <c r="AK18" s="161" t="str">
        <v>1</v>
      </c>
      <c r="AL18" s="161"/>
      <c r="AM18" s="161"/>
      <c r="AN18" s="439"/>
      <c r="AR18" s="161" t="str">
        <f t="shared" si="5"/>
        <v/>
      </c>
    </row>
    <row r="19" spans="2:44" s="25" customFormat="1" ht="15.75" x14ac:dyDescent="0.25">
      <c r="B19" s="268">
        <v>9</v>
      </c>
      <c r="C19" s="140" t="s">
        <v>261</v>
      </c>
      <c r="D19" s="664"/>
      <c r="E19" s="664"/>
      <c r="F19" s="944"/>
      <c r="G19" s="944"/>
      <c r="H19" s="944"/>
      <c r="I19" s="479"/>
      <c r="J19" s="310"/>
      <c r="K19" s="311"/>
      <c r="L19" s="474" t="str">
        <f t="shared" si="0"/>
        <v/>
      </c>
      <c r="M19" s="305" t="str">
        <f t="shared" si="6"/>
        <v/>
      </c>
      <c r="N19" s="474" t="str">
        <f t="shared" si="1"/>
        <v/>
      </c>
      <c r="O19" s="68"/>
      <c r="P19" s="3"/>
      <c r="R19" s="646"/>
      <c r="T19" s="655" t="str">
        <f>IF(D19="","",VLOOKUP(D19,'9. All Habitats + Multipliers'!$C$4:$K$102,5,FALSE))</f>
        <v/>
      </c>
      <c r="U19" s="656"/>
      <c r="V19" s="96" t="str">
        <f>IF(T19="","",VLOOKUP(T19,'11. Lists'!$B$47:$D$49,2,FALSE))</f>
        <v/>
      </c>
      <c r="W19" s="93" t="str">
        <f>IF(D19="","",VLOOKUP(D19,'10. Condition and Temporal'!$B$6:$C$103,2,FALSE))</f>
        <v/>
      </c>
      <c r="X19" s="96" t="str">
        <f>IF(W19="","",VLOOKUP(W19,'11. Lists'!$F$47:$G$51,2,FALSE))</f>
        <v/>
      </c>
      <c r="Y19" s="376"/>
      <c r="Z19" s="347"/>
      <c r="AA19" s="374"/>
      <c r="AB19" s="95" t="str">
        <f t="shared" si="7"/>
        <v/>
      </c>
      <c r="AC19" s="95" t="str">
        <f>IF(AB19="","",VLOOKUP(AB19,'11. Lists'!$F$36:$H$38,2,FALSE))</f>
        <v/>
      </c>
      <c r="AD19" s="94" t="str">
        <f>IF(AB19="","",VLOOKUP(AB19,'11. Lists'!$F$36:$H$38,3,FALSE))</f>
        <v/>
      </c>
      <c r="AE19" s="302" t="str">
        <f t="shared" si="2"/>
        <v/>
      </c>
      <c r="AF19" s="303" t="str">
        <f t="shared" si="3"/>
        <v/>
      </c>
      <c r="AG19" s="304" t="str">
        <f t="shared" si="4"/>
        <v/>
      </c>
      <c r="AH19" s="93" t="str">
        <f>IF(T19="","",VLOOKUP(T19,'11. Lists'!$B$47:$D$49,3,FALSE))</f>
        <v/>
      </c>
      <c r="AI19" s="348" t="str">
        <f>IF(D19="","",VLOOKUP(D19,'10. Condition and Temporal'!$B$6:$L$103,4,FALSE))</f>
        <v/>
      </c>
      <c r="AJ19" s="483" t="str">
        <v>1</v>
      </c>
      <c r="AK19" s="161" t="str">
        <v>1</v>
      </c>
      <c r="AL19" s="161"/>
      <c r="AM19" s="161"/>
      <c r="AN19" s="439"/>
      <c r="AR19" s="161" t="str">
        <f t="shared" si="5"/>
        <v/>
      </c>
    </row>
    <row r="20" spans="2:44" s="25" customFormat="1" ht="15.75" x14ac:dyDescent="0.25">
      <c r="B20" s="268">
        <v>10</v>
      </c>
      <c r="C20" s="140" t="s">
        <v>261</v>
      </c>
      <c r="D20" s="664"/>
      <c r="E20" s="664"/>
      <c r="F20" s="944"/>
      <c r="G20" s="944"/>
      <c r="H20" s="944"/>
      <c r="I20" s="479"/>
      <c r="J20" s="310"/>
      <c r="K20" s="311"/>
      <c r="L20" s="474" t="str">
        <f t="shared" si="0"/>
        <v/>
      </c>
      <c r="M20" s="305" t="str">
        <f t="shared" si="6"/>
        <v/>
      </c>
      <c r="N20" s="474" t="str">
        <f t="shared" si="1"/>
        <v/>
      </c>
      <c r="O20" s="68"/>
      <c r="P20" s="8"/>
      <c r="R20" s="646"/>
      <c r="T20" s="655" t="str">
        <f>IF(D20="","",VLOOKUP(D20,'9. All Habitats + Multipliers'!$C$4:$K$102,5,FALSE))</f>
        <v/>
      </c>
      <c r="U20" s="656"/>
      <c r="V20" s="96" t="str">
        <f>IF(T20="","",VLOOKUP(T20,'11. Lists'!$B$47:$D$49,2,FALSE))</f>
        <v/>
      </c>
      <c r="W20" s="93" t="str">
        <f>IF(D20="","",VLOOKUP(D20,'10. Condition and Temporal'!$B$6:$C$103,2,FALSE))</f>
        <v/>
      </c>
      <c r="X20" s="96" t="str">
        <f>IF(W20="","",VLOOKUP(W20,'11. Lists'!$F$47:$G$51,2,FALSE))</f>
        <v/>
      </c>
      <c r="Y20" s="376"/>
      <c r="Z20" s="347"/>
      <c r="AA20" s="374"/>
      <c r="AB20" s="95" t="str">
        <f t="shared" si="7"/>
        <v/>
      </c>
      <c r="AC20" s="95" t="str">
        <f>IF(AB20="","",VLOOKUP(AB20,'11. Lists'!$F$36:$H$38,2,FALSE))</f>
        <v/>
      </c>
      <c r="AD20" s="94" t="str">
        <f>IF(AB20="","",VLOOKUP(AB20,'11. Lists'!$F$36:$H$38,3,FALSE))</f>
        <v/>
      </c>
      <c r="AE20" s="302" t="str">
        <f t="shared" si="2"/>
        <v/>
      </c>
      <c r="AF20" s="303" t="str">
        <f t="shared" si="3"/>
        <v/>
      </c>
      <c r="AG20" s="304" t="str">
        <f t="shared" si="4"/>
        <v/>
      </c>
      <c r="AH20" s="93" t="str">
        <f>IF(T20="","",VLOOKUP(T20,'11. Lists'!$B$47:$D$49,3,FALSE))</f>
        <v/>
      </c>
      <c r="AI20" s="348" t="str">
        <f>IF(D20="","",VLOOKUP(D20,'10. Condition and Temporal'!$B$6:$L$103,4,FALSE))</f>
        <v/>
      </c>
      <c r="AJ20" s="483" t="str">
        <v>1</v>
      </c>
      <c r="AK20" s="161" t="str">
        <v>1</v>
      </c>
      <c r="AL20" s="161"/>
      <c r="AM20" s="161"/>
      <c r="AN20" s="439"/>
      <c r="AR20" s="161" t="str">
        <f t="shared" si="5"/>
        <v/>
      </c>
    </row>
    <row r="21" spans="2:44" s="25" customFormat="1" ht="15.75" x14ac:dyDescent="0.25">
      <c r="B21" s="268">
        <v>11</v>
      </c>
      <c r="C21" s="140" t="s">
        <v>261</v>
      </c>
      <c r="D21" s="664"/>
      <c r="E21" s="664"/>
      <c r="F21" s="944"/>
      <c r="G21" s="944"/>
      <c r="H21" s="944"/>
      <c r="I21" s="479"/>
      <c r="J21" s="310"/>
      <c r="K21" s="311"/>
      <c r="L21" s="474" t="str">
        <f t="shared" si="0"/>
        <v/>
      </c>
      <c r="M21" s="305" t="str">
        <f t="shared" si="6"/>
        <v/>
      </c>
      <c r="N21" s="474" t="str">
        <f t="shared" si="1"/>
        <v/>
      </c>
      <c r="O21" s="68"/>
      <c r="P21" s="8"/>
      <c r="R21" s="646"/>
      <c r="T21" s="655" t="str">
        <f>IF(D21="","",VLOOKUP(D21,'9. All Habitats + Multipliers'!$C$4:$K$102,5,FALSE))</f>
        <v/>
      </c>
      <c r="U21" s="656"/>
      <c r="V21" s="96" t="str">
        <f>IF(T21="","",VLOOKUP(T21,'11. Lists'!$B$47:$D$49,2,FALSE))</f>
        <v/>
      </c>
      <c r="W21" s="93" t="str">
        <f>IF(D21="","",VLOOKUP(D21,'10. Condition and Temporal'!$B$6:$C$103,2,FALSE))</f>
        <v/>
      </c>
      <c r="X21" s="96" t="str">
        <f>IF(W21="","",VLOOKUP(W21,'11. Lists'!$F$47:$G$51,2,FALSE))</f>
        <v/>
      </c>
      <c r="Y21" s="376"/>
      <c r="Z21" s="347"/>
      <c r="AA21" s="374"/>
      <c r="AB21" s="95" t="str">
        <f t="shared" si="7"/>
        <v/>
      </c>
      <c r="AC21" s="95" t="str">
        <f>IF(AB21="","",VLOOKUP(AB21,'11. Lists'!$F$36:$H$38,2,FALSE))</f>
        <v/>
      </c>
      <c r="AD21" s="94" t="str">
        <f>IF(AB21="","",VLOOKUP(AB21,'11. Lists'!$F$36:$H$38,3,FALSE))</f>
        <v/>
      </c>
      <c r="AE21" s="302" t="str">
        <f t="shared" si="2"/>
        <v/>
      </c>
      <c r="AF21" s="303" t="str">
        <f t="shared" si="3"/>
        <v/>
      </c>
      <c r="AG21" s="304" t="str">
        <f t="shared" si="4"/>
        <v/>
      </c>
      <c r="AH21" s="93" t="str">
        <f>IF(T21="","",VLOOKUP(T21,'11. Lists'!$B$47:$D$49,3,FALSE))</f>
        <v/>
      </c>
      <c r="AI21" s="348" t="str">
        <f>IF(D21="","",VLOOKUP(D21,'10. Condition and Temporal'!$B$6:$L$103,4,FALSE))</f>
        <v/>
      </c>
      <c r="AJ21" s="483" t="str">
        <v>1</v>
      </c>
      <c r="AK21" s="161" t="str">
        <v>1</v>
      </c>
      <c r="AL21" s="161"/>
      <c r="AM21" s="161"/>
      <c r="AN21" s="439"/>
      <c r="AR21" s="161" t="str">
        <f t="shared" si="5"/>
        <v/>
      </c>
    </row>
    <row r="22" spans="2:44" s="25" customFormat="1" ht="15.75" x14ac:dyDescent="0.25">
      <c r="B22" s="268">
        <v>12</v>
      </c>
      <c r="C22" s="140" t="s">
        <v>261</v>
      </c>
      <c r="D22" s="664"/>
      <c r="E22" s="664"/>
      <c r="F22" s="944"/>
      <c r="G22" s="944"/>
      <c r="H22" s="944"/>
      <c r="I22" s="479"/>
      <c r="J22" s="310"/>
      <c r="K22" s="311"/>
      <c r="L22" s="474" t="str">
        <f t="shared" si="0"/>
        <v/>
      </c>
      <c r="M22" s="305" t="str">
        <f t="shared" si="6"/>
        <v/>
      </c>
      <c r="N22" s="474" t="str">
        <f t="shared" si="1"/>
        <v/>
      </c>
      <c r="O22" s="68"/>
      <c r="P22" s="8"/>
      <c r="R22" s="646"/>
      <c r="T22" s="655" t="str">
        <f>IF(D22="","",VLOOKUP(D22,'9. All Habitats + Multipliers'!$C$4:$K$102,5,FALSE))</f>
        <v/>
      </c>
      <c r="U22" s="656"/>
      <c r="V22" s="96" t="str">
        <f>IF(T22="","",VLOOKUP(T22,'11. Lists'!$B$47:$D$49,2,FALSE))</f>
        <v/>
      </c>
      <c r="W22" s="93" t="str">
        <f>IF(D22="","",VLOOKUP(D22,'10. Condition and Temporal'!$B$6:$C$103,2,FALSE))</f>
        <v/>
      </c>
      <c r="X22" s="96" t="str">
        <f>IF(W22="","",VLOOKUP(W22,'11. Lists'!$F$47:$G$51,2,FALSE))</f>
        <v/>
      </c>
      <c r="Y22" s="376"/>
      <c r="Z22" s="347"/>
      <c r="AA22" s="374"/>
      <c r="AB22" s="95" t="str">
        <f t="shared" si="7"/>
        <v/>
      </c>
      <c r="AC22" s="95" t="str">
        <f>IF(AB22="","",VLOOKUP(AB22,'11. Lists'!$F$36:$H$38,2,FALSE))</f>
        <v/>
      </c>
      <c r="AD22" s="94" t="str">
        <f>IF(AB22="","",VLOOKUP(AB22,'11. Lists'!$F$36:$H$38,3,FALSE))</f>
        <v/>
      </c>
      <c r="AE22" s="302" t="str">
        <f t="shared" si="2"/>
        <v/>
      </c>
      <c r="AF22" s="303" t="str">
        <f t="shared" si="3"/>
        <v/>
      </c>
      <c r="AG22" s="304" t="str">
        <f t="shared" si="4"/>
        <v/>
      </c>
      <c r="AH22" s="93" t="str">
        <f>IF(T22="","",VLOOKUP(T22,'11. Lists'!$B$47:$D$49,3,FALSE))</f>
        <v/>
      </c>
      <c r="AI22" s="348" t="str">
        <f>IF(D22="","",VLOOKUP(D22,'10. Condition and Temporal'!$B$6:$L$103,4,FALSE))</f>
        <v/>
      </c>
      <c r="AJ22" s="483" t="str">
        <v>1</v>
      </c>
      <c r="AK22" s="161" t="str">
        <v>1</v>
      </c>
      <c r="AL22" s="161"/>
      <c r="AM22" s="161"/>
      <c r="AN22" s="439"/>
      <c r="AR22" s="161" t="str">
        <f t="shared" si="5"/>
        <v/>
      </c>
    </row>
    <row r="23" spans="2:44" s="25" customFormat="1" ht="15.75" x14ac:dyDescent="0.25">
      <c r="B23" s="268">
        <v>13</v>
      </c>
      <c r="C23" s="140" t="s">
        <v>261</v>
      </c>
      <c r="D23" s="664"/>
      <c r="E23" s="664"/>
      <c r="F23" s="944"/>
      <c r="G23" s="944"/>
      <c r="H23" s="944"/>
      <c r="I23" s="479"/>
      <c r="J23" s="310"/>
      <c r="K23" s="311"/>
      <c r="L23" s="474" t="str">
        <f t="shared" si="0"/>
        <v/>
      </c>
      <c r="M23" s="305" t="str">
        <f t="shared" si="6"/>
        <v/>
      </c>
      <c r="N23" s="474" t="str">
        <f t="shared" si="1"/>
        <v/>
      </c>
      <c r="O23" s="68"/>
      <c r="P23" s="8"/>
      <c r="R23" s="646"/>
      <c r="T23" s="655" t="str">
        <f>IF(D23="","",VLOOKUP(D23,'9. All Habitats + Multipliers'!$C$4:$K$102,5,FALSE))</f>
        <v/>
      </c>
      <c r="U23" s="656"/>
      <c r="V23" s="96" t="str">
        <f>IF(T23="","",VLOOKUP(T23,'11. Lists'!$B$47:$D$49,2,FALSE))</f>
        <v/>
      </c>
      <c r="W23" s="93" t="str">
        <f>IF(D23="","",VLOOKUP(D23,'10. Condition and Temporal'!$B$6:$C$103,2,FALSE))</f>
        <v/>
      </c>
      <c r="X23" s="96" t="str">
        <f>IF(W23="","",VLOOKUP(W23,'11. Lists'!$F$47:$G$51,2,FALSE))</f>
        <v/>
      </c>
      <c r="Y23" s="376"/>
      <c r="Z23" s="347"/>
      <c r="AA23" s="374"/>
      <c r="AB23" s="95" t="str">
        <f t="shared" si="7"/>
        <v/>
      </c>
      <c r="AC23" s="95" t="str">
        <f>IF(AB23="","",VLOOKUP(AB23,'11. Lists'!$F$36:$H$38,2,FALSE))</f>
        <v/>
      </c>
      <c r="AD23" s="94" t="str">
        <f>IF(AB23="","",VLOOKUP(AB23,'11. Lists'!$F$36:$H$38,3,FALSE))</f>
        <v/>
      </c>
      <c r="AE23" s="302" t="str">
        <f t="shared" si="2"/>
        <v/>
      </c>
      <c r="AF23" s="303" t="str">
        <f t="shared" si="3"/>
        <v/>
      </c>
      <c r="AG23" s="304" t="str">
        <f t="shared" si="4"/>
        <v/>
      </c>
      <c r="AH23" s="93" t="str">
        <f>IF(T23="","",VLOOKUP(T23,'11. Lists'!$B$47:$D$49,3,FALSE))</f>
        <v/>
      </c>
      <c r="AI23" s="348" t="str">
        <f>IF(D23="","",VLOOKUP(D23,'10. Condition and Temporal'!$B$6:$L$103,4,FALSE))</f>
        <v/>
      </c>
      <c r="AJ23" s="483" t="str">
        <v>1</v>
      </c>
      <c r="AK23" s="161" t="str">
        <v>1</v>
      </c>
      <c r="AL23" s="161"/>
      <c r="AM23" s="161"/>
      <c r="AN23" s="439"/>
      <c r="AR23" s="161" t="str">
        <f t="shared" si="5"/>
        <v/>
      </c>
    </row>
    <row r="24" spans="2:44" s="25" customFormat="1" ht="15.75" x14ac:dyDescent="0.25">
      <c r="B24" s="268">
        <v>14</v>
      </c>
      <c r="C24" s="140" t="s">
        <v>261</v>
      </c>
      <c r="D24" s="664"/>
      <c r="E24" s="664"/>
      <c r="F24" s="944"/>
      <c r="G24" s="944"/>
      <c r="H24" s="944"/>
      <c r="I24" s="479"/>
      <c r="J24" s="310"/>
      <c r="K24" s="311"/>
      <c r="L24" s="474" t="str">
        <f t="shared" si="0"/>
        <v/>
      </c>
      <c r="M24" s="305" t="str">
        <f t="shared" si="6"/>
        <v/>
      </c>
      <c r="N24" s="474" t="str">
        <f t="shared" si="1"/>
        <v/>
      </c>
      <c r="O24" s="68"/>
      <c r="P24" s="8"/>
      <c r="R24" s="646"/>
      <c r="T24" s="655" t="str">
        <f>IF(D24="","",VLOOKUP(D24,'9. All Habitats + Multipliers'!$C$4:$K$102,5,FALSE))</f>
        <v/>
      </c>
      <c r="U24" s="656"/>
      <c r="V24" s="96" t="str">
        <f>IF(T24="","",VLOOKUP(T24,'11. Lists'!$B$47:$D$49,2,FALSE))</f>
        <v/>
      </c>
      <c r="W24" s="93" t="str">
        <f>IF(D24="","",VLOOKUP(D24,'10. Condition and Temporal'!$B$6:$C$103,2,FALSE))</f>
        <v/>
      </c>
      <c r="X24" s="96" t="str">
        <f>IF(W24="","",VLOOKUP(W24,'11. Lists'!$F$47:$G$51,2,FALSE))</f>
        <v/>
      </c>
      <c r="Y24" s="376"/>
      <c r="Z24" s="347"/>
      <c r="AA24" s="374"/>
      <c r="AB24" s="95" t="str">
        <f t="shared" si="7"/>
        <v/>
      </c>
      <c r="AC24" s="95" t="str">
        <f>IF(AB24="","",VLOOKUP(AB24,'11. Lists'!$F$36:$H$38,2,FALSE))</f>
        <v/>
      </c>
      <c r="AD24" s="94" t="str">
        <f>IF(AB24="","",VLOOKUP(AB24,'11. Lists'!$F$36:$H$38,3,FALSE))</f>
        <v/>
      </c>
      <c r="AE24" s="302" t="str">
        <f t="shared" si="2"/>
        <v/>
      </c>
      <c r="AF24" s="303" t="str">
        <f t="shared" si="3"/>
        <v/>
      </c>
      <c r="AG24" s="304" t="str">
        <f t="shared" si="4"/>
        <v/>
      </c>
      <c r="AH24" s="93" t="str">
        <f>IF(T24="","",VLOOKUP(T24,'11. Lists'!$B$47:$D$49,3,FALSE))</f>
        <v/>
      </c>
      <c r="AI24" s="348" t="str">
        <f>IF(D24="","",VLOOKUP(D24,'10. Condition and Temporal'!$B$6:$L$103,4,FALSE))</f>
        <v/>
      </c>
      <c r="AJ24" s="483" t="str">
        <v>1</v>
      </c>
      <c r="AK24" s="161" t="str">
        <v>1</v>
      </c>
      <c r="AL24" s="161"/>
      <c r="AM24" s="161"/>
      <c r="AN24" s="439"/>
      <c r="AR24" s="161" t="str">
        <f t="shared" si="5"/>
        <v/>
      </c>
    </row>
    <row r="25" spans="2:44" s="25" customFormat="1" ht="15.75" x14ac:dyDescent="0.25">
      <c r="B25" s="268">
        <v>15</v>
      </c>
      <c r="C25" s="140" t="s">
        <v>261</v>
      </c>
      <c r="D25" s="664"/>
      <c r="E25" s="664"/>
      <c r="F25" s="944"/>
      <c r="G25" s="944"/>
      <c r="H25" s="944"/>
      <c r="I25" s="479"/>
      <c r="J25" s="310"/>
      <c r="K25" s="311"/>
      <c r="L25" s="474" t="str">
        <f t="shared" si="0"/>
        <v/>
      </c>
      <c r="M25" s="305" t="str">
        <f t="shared" si="6"/>
        <v/>
      </c>
      <c r="N25" s="474" t="str">
        <f t="shared" si="1"/>
        <v/>
      </c>
      <c r="O25" s="68"/>
      <c r="P25" s="8"/>
      <c r="R25" s="646"/>
      <c r="T25" s="655" t="str">
        <f>IF(D25="","",VLOOKUP(D25,'9. All Habitats + Multipliers'!$C$4:$K$102,5,FALSE))</f>
        <v/>
      </c>
      <c r="U25" s="656"/>
      <c r="V25" s="96" t="str">
        <f>IF(T25="","",VLOOKUP(T25,'11. Lists'!$B$47:$D$49,2,FALSE))</f>
        <v/>
      </c>
      <c r="W25" s="93" t="str">
        <f>IF(D25="","",VLOOKUP(D25,'10. Condition and Temporal'!$B$6:$C$103,2,FALSE))</f>
        <v/>
      </c>
      <c r="X25" s="96" t="str">
        <f>IF(W25="","",VLOOKUP(W25,'11. Lists'!$F$47:$G$51,2,FALSE))</f>
        <v/>
      </c>
      <c r="Y25" s="376"/>
      <c r="Z25" s="347"/>
      <c r="AA25" s="374"/>
      <c r="AB25" s="95" t="str">
        <f t="shared" si="7"/>
        <v/>
      </c>
      <c r="AC25" s="95" t="str">
        <f>IF(AB25="","",VLOOKUP(AB25,'11. Lists'!$F$36:$H$38,2,FALSE))</f>
        <v/>
      </c>
      <c r="AD25" s="94" t="str">
        <f>IF(AB25="","",VLOOKUP(AB25,'11. Lists'!$F$36:$H$38,3,FALSE))</f>
        <v/>
      </c>
      <c r="AE25" s="302" t="str">
        <f t="shared" si="2"/>
        <v/>
      </c>
      <c r="AF25" s="303" t="str">
        <f t="shared" si="3"/>
        <v/>
      </c>
      <c r="AG25" s="304" t="str">
        <f t="shared" si="4"/>
        <v/>
      </c>
      <c r="AH25" s="93" t="str">
        <f>IF(T25="","",VLOOKUP(T25,'11. Lists'!$B$47:$D$49,3,FALSE))</f>
        <v/>
      </c>
      <c r="AI25" s="348" t="str">
        <f>IF(D25="","",VLOOKUP(D25,'10. Condition and Temporal'!$B$6:$L$103,4,FALSE))</f>
        <v/>
      </c>
      <c r="AJ25" s="483" t="str">
        <v>1</v>
      </c>
      <c r="AK25" s="161" t="str">
        <v>1</v>
      </c>
      <c r="AL25" s="161"/>
      <c r="AM25" s="161"/>
      <c r="AN25" s="439"/>
      <c r="AR25" s="161" t="str">
        <f t="shared" si="5"/>
        <v/>
      </c>
    </row>
    <row r="26" spans="2:44" s="25" customFormat="1" ht="15.75" x14ac:dyDescent="0.25">
      <c r="B26" s="268">
        <v>16</v>
      </c>
      <c r="C26" s="140" t="s">
        <v>261</v>
      </c>
      <c r="D26" s="664"/>
      <c r="E26" s="664"/>
      <c r="F26" s="944"/>
      <c r="G26" s="944"/>
      <c r="H26" s="944"/>
      <c r="I26" s="479"/>
      <c r="J26" s="310"/>
      <c r="K26" s="311"/>
      <c r="L26" s="474" t="str">
        <f t="shared" si="0"/>
        <v/>
      </c>
      <c r="M26" s="305" t="str">
        <f t="shared" si="6"/>
        <v/>
      </c>
      <c r="N26" s="474" t="str">
        <f t="shared" si="1"/>
        <v/>
      </c>
      <c r="O26" s="68"/>
      <c r="P26" s="8"/>
      <c r="R26" s="646"/>
      <c r="T26" s="655" t="str">
        <f>IF(D26="","",VLOOKUP(D26,'9. All Habitats + Multipliers'!$C$4:$K$102,5,FALSE))</f>
        <v/>
      </c>
      <c r="U26" s="656"/>
      <c r="V26" s="96" t="str">
        <f>IF(T26="","",VLOOKUP(T26,'11. Lists'!$B$47:$D$49,2,FALSE))</f>
        <v/>
      </c>
      <c r="W26" s="93" t="str">
        <f>IF(D26="","",VLOOKUP(D26,'10. Condition and Temporal'!$B$6:$C$103,2,FALSE))</f>
        <v/>
      </c>
      <c r="X26" s="96" t="str">
        <f>IF(W26="","",VLOOKUP(W26,'11. Lists'!$F$47:$G$51,2,FALSE))</f>
        <v/>
      </c>
      <c r="Y26" s="376"/>
      <c r="Z26" s="347"/>
      <c r="AA26" s="374"/>
      <c r="AB26" s="95" t="str">
        <f t="shared" si="7"/>
        <v/>
      </c>
      <c r="AC26" s="95" t="str">
        <f>IF(AB26="","",VLOOKUP(AB26,'11. Lists'!$F$36:$H$38,2,FALSE))</f>
        <v/>
      </c>
      <c r="AD26" s="94" t="str">
        <f>IF(AB26="","",VLOOKUP(AB26,'11. Lists'!$F$36:$H$38,3,FALSE))</f>
        <v/>
      </c>
      <c r="AE26" s="302" t="str">
        <f t="shared" si="2"/>
        <v/>
      </c>
      <c r="AF26" s="303" t="str">
        <f t="shared" si="3"/>
        <v/>
      </c>
      <c r="AG26" s="304" t="str">
        <f t="shared" si="4"/>
        <v/>
      </c>
      <c r="AH26" s="93" t="str">
        <f>IF(T26="","",VLOOKUP(T26,'11. Lists'!$B$47:$D$49,3,FALSE))</f>
        <v/>
      </c>
      <c r="AI26" s="348" t="str">
        <f>IF(D26="","",VLOOKUP(D26,'10. Condition and Temporal'!$B$6:$L$103,4,FALSE))</f>
        <v/>
      </c>
      <c r="AJ26" s="483" t="str">
        <v>1</v>
      </c>
      <c r="AK26" s="161" t="str">
        <v>1</v>
      </c>
      <c r="AL26" s="161"/>
      <c r="AM26" s="161"/>
      <c r="AN26" s="439"/>
      <c r="AR26" s="161" t="str">
        <f t="shared" si="5"/>
        <v/>
      </c>
    </row>
    <row r="27" spans="2:44" s="25" customFormat="1" ht="15.75" x14ac:dyDescent="0.25">
      <c r="B27" s="268">
        <v>17</v>
      </c>
      <c r="C27" s="140" t="s">
        <v>261</v>
      </c>
      <c r="D27" s="664"/>
      <c r="E27" s="664"/>
      <c r="F27" s="944"/>
      <c r="G27" s="944"/>
      <c r="H27" s="944"/>
      <c r="I27" s="479"/>
      <c r="J27" s="310"/>
      <c r="K27" s="311"/>
      <c r="L27" s="474" t="str">
        <f t="shared" si="0"/>
        <v/>
      </c>
      <c r="M27" s="305" t="str">
        <f t="shared" si="6"/>
        <v/>
      </c>
      <c r="N27" s="474" t="str">
        <f t="shared" si="1"/>
        <v/>
      </c>
      <c r="O27" s="68"/>
      <c r="P27" s="8"/>
      <c r="R27" s="646"/>
      <c r="T27" s="655" t="str">
        <f>IF(D27="","",VLOOKUP(D27,'9. All Habitats + Multipliers'!$C$4:$K$102,5,FALSE))</f>
        <v/>
      </c>
      <c r="U27" s="656"/>
      <c r="V27" s="96" t="str">
        <f>IF(T27="","",VLOOKUP(T27,'11. Lists'!$B$47:$D$49,2,FALSE))</f>
        <v/>
      </c>
      <c r="W27" s="93" t="str">
        <f>IF(D27="","",VLOOKUP(D27,'10. Condition and Temporal'!$B$6:$C$103,2,FALSE))</f>
        <v/>
      </c>
      <c r="X27" s="96" t="str">
        <f>IF(W27="","",VLOOKUP(W27,'11. Lists'!$F$47:$G$51,2,FALSE))</f>
        <v/>
      </c>
      <c r="Y27" s="376"/>
      <c r="Z27" s="347"/>
      <c r="AA27" s="374"/>
      <c r="AB27" s="95" t="str">
        <f t="shared" si="7"/>
        <v/>
      </c>
      <c r="AC27" s="95" t="str">
        <f>IF(AB27="","",VLOOKUP(AB27,'11. Lists'!$F$36:$H$38,2,FALSE))</f>
        <v/>
      </c>
      <c r="AD27" s="94" t="str">
        <f>IF(AB27="","",VLOOKUP(AB27,'11. Lists'!$F$36:$H$38,3,FALSE))</f>
        <v/>
      </c>
      <c r="AE27" s="302" t="str">
        <f t="shared" si="2"/>
        <v/>
      </c>
      <c r="AF27" s="303" t="str">
        <f t="shared" si="3"/>
        <v/>
      </c>
      <c r="AG27" s="304" t="str">
        <f t="shared" si="4"/>
        <v/>
      </c>
      <c r="AH27" s="93" t="str">
        <f>IF(T27="","",VLOOKUP(T27,'11. Lists'!$B$47:$D$49,3,FALSE))</f>
        <v/>
      </c>
      <c r="AI27" s="348" t="str">
        <f>IF(D27="","",VLOOKUP(D27,'10. Condition and Temporal'!$B$6:$L$103,4,FALSE))</f>
        <v/>
      </c>
      <c r="AJ27" s="483" t="str">
        <v>1</v>
      </c>
      <c r="AK27" s="161" t="str">
        <v>1</v>
      </c>
      <c r="AL27" s="161"/>
      <c r="AM27" s="161"/>
      <c r="AN27" s="439"/>
      <c r="AR27" s="161" t="str">
        <f t="shared" si="5"/>
        <v/>
      </c>
    </row>
    <row r="28" spans="2:44" s="25" customFormat="1" ht="15.75" x14ac:dyDescent="0.25">
      <c r="B28" s="268">
        <v>18</v>
      </c>
      <c r="C28" s="140" t="s">
        <v>261</v>
      </c>
      <c r="D28" s="664"/>
      <c r="E28" s="664"/>
      <c r="F28" s="944"/>
      <c r="G28" s="944"/>
      <c r="H28" s="944"/>
      <c r="I28" s="479"/>
      <c r="J28" s="310"/>
      <c r="K28" s="311"/>
      <c r="L28" s="474" t="str">
        <f t="shared" si="0"/>
        <v/>
      </c>
      <c r="M28" s="305" t="str">
        <f t="shared" si="6"/>
        <v/>
      </c>
      <c r="N28" s="474" t="str">
        <f t="shared" si="1"/>
        <v/>
      </c>
      <c r="O28" s="68"/>
      <c r="P28" s="8"/>
      <c r="R28" s="646"/>
      <c r="T28" s="655" t="str">
        <f>IF(D28="","",VLOOKUP(D28,'9. All Habitats + Multipliers'!$C$4:$K$102,5,FALSE))</f>
        <v/>
      </c>
      <c r="U28" s="656"/>
      <c r="V28" s="96" t="str">
        <f>IF(T28="","",VLOOKUP(T28,'11. Lists'!$B$47:$D$49,2,FALSE))</f>
        <v/>
      </c>
      <c r="W28" s="93" t="str">
        <f>IF(D28="","",VLOOKUP(D28,'10. Condition and Temporal'!$B$6:$C$103,2,FALSE))</f>
        <v/>
      </c>
      <c r="X28" s="96" t="str">
        <f>IF(W28="","",VLOOKUP(W28,'11. Lists'!$F$47:$G$51,2,FALSE))</f>
        <v/>
      </c>
      <c r="Y28" s="376"/>
      <c r="Z28" s="347"/>
      <c r="AA28" s="374"/>
      <c r="AB28" s="95" t="str">
        <f t="shared" si="7"/>
        <v/>
      </c>
      <c r="AC28" s="95" t="str">
        <f>IF(AB28="","",VLOOKUP(AB28,'11. Lists'!$F$36:$H$38,2,FALSE))</f>
        <v/>
      </c>
      <c r="AD28" s="94" t="str">
        <f>IF(AB28="","",VLOOKUP(AB28,'11. Lists'!$F$36:$H$38,3,FALSE))</f>
        <v/>
      </c>
      <c r="AE28" s="302" t="str">
        <f t="shared" si="2"/>
        <v/>
      </c>
      <c r="AF28" s="303" t="str">
        <f t="shared" si="3"/>
        <v/>
      </c>
      <c r="AG28" s="304" t="str">
        <f t="shared" si="4"/>
        <v/>
      </c>
      <c r="AH28" s="93" t="str">
        <f>IF(T28="","",VLOOKUP(T28,'11. Lists'!$B$47:$D$49,3,FALSE))</f>
        <v/>
      </c>
      <c r="AI28" s="348" t="str">
        <f>IF(D28="","",VLOOKUP(D28,'10. Condition and Temporal'!$B$6:$L$103,4,FALSE))</f>
        <v/>
      </c>
      <c r="AJ28" s="483" t="str">
        <v>1</v>
      </c>
      <c r="AK28" s="161" t="str">
        <v>1</v>
      </c>
      <c r="AL28" s="161"/>
      <c r="AM28" s="161"/>
      <c r="AN28" s="439"/>
      <c r="AR28" s="161" t="str">
        <f t="shared" si="5"/>
        <v/>
      </c>
    </row>
    <row r="29" spans="2:44" s="25" customFormat="1" ht="15.75" x14ac:dyDescent="0.25">
      <c r="B29" s="268">
        <v>19</v>
      </c>
      <c r="C29" s="140" t="s">
        <v>261</v>
      </c>
      <c r="D29" s="664"/>
      <c r="E29" s="664"/>
      <c r="F29" s="944"/>
      <c r="G29" s="944"/>
      <c r="H29" s="944"/>
      <c r="I29" s="479"/>
      <c r="J29" s="310"/>
      <c r="K29" s="311"/>
      <c r="L29" s="474" t="str">
        <f t="shared" si="0"/>
        <v/>
      </c>
      <c r="M29" s="305" t="str">
        <f t="shared" si="6"/>
        <v/>
      </c>
      <c r="N29" s="474" t="str">
        <f t="shared" si="1"/>
        <v/>
      </c>
      <c r="O29" s="68"/>
      <c r="P29" s="8"/>
      <c r="R29" s="646"/>
      <c r="T29" s="655" t="str">
        <f>IF(D29="","",VLOOKUP(D29,'9. All Habitats + Multipliers'!$C$4:$K$102,5,FALSE))</f>
        <v/>
      </c>
      <c r="U29" s="656"/>
      <c r="V29" s="96" t="str">
        <f>IF(T29="","",VLOOKUP(T29,'11. Lists'!$B$47:$D$49,2,FALSE))</f>
        <v/>
      </c>
      <c r="W29" s="93" t="str">
        <f>IF(D29="","",VLOOKUP(D29,'10. Condition and Temporal'!$B$6:$C$103,2,FALSE))</f>
        <v/>
      </c>
      <c r="X29" s="96" t="str">
        <f>IF(W29="","",VLOOKUP(W29,'11. Lists'!$F$47:$G$51,2,FALSE))</f>
        <v/>
      </c>
      <c r="Y29" s="376"/>
      <c r="Z29" s="347"/>
      <c r="AA29" s="374"/>
      <c r="AB29" s="95" t="str">
        <f t="shared" si="7"/>
        <v/>
      </c>
      <c r="AC29" s="95" t="str">
        <f>IF(AB29="","",VLOOKUP(AB29,'11. Lists'!$F$36:$H$38,2,FALSE))</f>
        <v/>
      </c>
      <c r="AD29" s="94" t="str">
        <f>IF(AB29="","",VLOOKUP(AB29,'11. Lists'!$F$36:$H$38,3,FALSE))</f>
        <v/>
      </c>
      <c r="AE29" s="302" t="str">
        <f t="shared" si="2"/>
        <v/>
      </c>
      <c r="AF29" s="303" t="str">
        <f t="shared" si="3"/>
        <v/>
      </c>
      <c r="AG29" s="304" t="str">
        <f t="shared" si="4"/>
        <v/>
      </c>
      <c r="AH29" s="93" t="str">
        <f>IF(T29="","",VLOOKUP(T29,'11. Lists'!$B$47:$D$49,3,FALSE))</f>
        <v/>
      </c>
      <c r="AI29" s="348" t="str">
        <f>IF(D29="","",VLOOKUP(D29,'10. Condition and Temporal'!$B$6:$L$103,4,FALSE))</f>
        <v/>
      </c>
      <c r="AJ29" s="483" t="str">
        <v>1</v>
      </c>
      <c r="AK29" s="161" t="str">
        <v>1</v>
      </c>
      <c r="AL29" s="161"/>
      <c r="AM29" s="161"/>
      <c r="AN29" s="439"/>
      <c r="AR29" s="161" t="str">
        <f t="shared" si="5"/>
        <v/>
      </c>
    </row>
    <row r="30" spans="2:44" s="25" customFormat="1" ht="16.5" customHeight="1" thickBot="1" x14ac:dyDescent="0.3">
      <c r="B30" s="269">
        <v>20</v>
      </c>
      <c r="C30" s="146" t="s">
        <v>261</v>
      </c>
      <c r="D30" s="668"/>
      <c r="E30" s="668"/>
      <c r="F30" s="963"/>
      <c r="G30" s="963"/>
      <c r="H30" s="963"/>
      <c r="I30" s="480"/>
      <c r="J30" s="313"/>
      <c r="K30" s="314"/>
      <c r="L30" s="482" t="str">
        <f t="shared" si="0"/>
        <v/>
      </c>
      <c r="M30" s="319" t="str">
        <f>IF(I30="","",IF(J30+K30&gt;I30,"Length Error ▲",I30-J30-K30))</f>
        <v/>
      </c>
      <c r="N30" s="482" t="str">
        <f t="shared" si="1"/>
        <v/>
      </c>
      <c r="O30" s="70"/>
      <c r="P30" s="4"/>
      <c r="R30" s="646"/>
      <c r="T30" s="657" t="str">
        <f>IF(D30="","",VLOOKUP(D30,'9. All Habitats + Multipliers'!$C$4:$K$102,5,FALSE))</f>
        <v/>
      </c>
      <c r="U30" s="658"/>
      <c r="V30" s="96" t="str">
        <f>IF(T30="","",VLOOKUP(T30,'11. Lists'!$B$47:$D$49,2,FALSE))</f>
        <v/>
      </c>
      <c r="W30" s="98" t="str">
        <f>IF(D30="","",VLOOKUP(D30,'10. Condition and Temporal'!$B$6:$C$103,2,FALSE))</f>
        <v/>
      </c>
      <c r="X30" s="102" t="str">
        <f>IF(W30="","",VLOOKUP(W30,'11. Lists'!$F$47:$G$51,2,FALSE))</f>
        <v/>
      </c>
      <c r="Y30" s="376"/>
      <c r="Z30" s="347"/>
      <c r="AA30" s="374"/>
      <c r="AB30" s="95" t="str">
        <f t="shared" si="7"/>
        <v/>
      </c>
      <c r="AC30" s="95" t="str">
        <f>IF(AB30="","",VLOOKUP(AB30,'11. Lists'!$F$36:$H$38,2,FALSE))</f>
        <v/>
      </c>
      <c r="AD30" s="94" t="str">
        <f>IF(AB30="","",VLOOKUP(AB30,'11. Lists'!$F$36:$H$38,3,FALSE))</f>
        <v/>
      </c>
      <c r="AE30" s="302" t="str">
        <f t="shared" si="2"/>
        <v/>
      </c>
      <c r="AF30" s="303" t="str">
        <f t="shared" si="3"/>
        <v/>
      </c>
      <c r="AG30" s="304" t="str">
        <f t="shared" si="4"/>
        <v/>
      </c>
      <c r="AH30" s="93" t="str">
        <f>IF(T30="","",VLOOKUP(T30,'11. Lists'!$B$47:$D$49,3,FALSE))</f>
        <v/>
      </c>
      <c r="AI30" s="348" t="str">
        <f>IF(D30="","",VLOOKUP(D30,'10. Condition and Temporal'!$B$6:$L$103,4,FALSE))</f>
        <v/>
      </c>
      <c r="AJ30" s="483" t="str">
        <v>1</v>
      </c>
      <c r="AK30" s="161" t="str">
        <v>1</v>
      </c>
      <c r="AL30" s="161"/>
      <c r="AM30" s="161"/>
      <c r="AN30" s="439"/>
      <c r="AR30" s="161" t="str">
        <f t="shared" si="5"/>
        <v/>
      </c>
    </row>
    <row r="31" spans="2:44" s="25" customFormat="1" x14ac:dyDescent="0.25">
      <c r="D31" s="89"/>
      <c r="E31" s="103"/>
      <c r="F31" s="103"/>
      <c r="G31" s="103"/>
      <c r="H31" s="481" t="s">
        <v>236</v>
      </c>
      <c r="I31" s="330">
        <f t="shared" ref="I31:N31" si="8">SUM(I11:I30)</f>
        <v>0</v>
      </c>
      <c r="J31" s="331">
        <f t="shared" si="8"/>
        <v>0</v>
      </c>
      <c r="K31" s="332">
        <f t="shared" si="8"/>
        <v>0</v>
      </c>
      <c r="L31" s="287">
        <f t="shared" si="8"/>
        <v>0</v>
      </c>
      <c r="M31" s="320">
        <f t="shared" si="8"/>
        <v>0</v>
      </c>
      <c r="N31" s="295">
        <f t="shared" si="8"/>
        <v>0</v>
      </c>
      <c r="R31" s="646"/>
      <c r="AJ31" s="161"/>
      <c r="AK31" s="161"/>
      <c r="AL31" s="161"/>
      <c r="AM31" s="161"/>
      <c r="AN31" s="161"/>
      <c r="AR31" s="161"/>
    </row>
    <row r="32" spans="2:44" s="25" customFormat="1" x14ac:dyDescent="0.25">
      <c r="D32" s="89"/>
      <c r="E32" s="103"/>
      <c r="F32" s="103"/>
      <c r="G32" s="103"/>
      <c r="H32" s="293" t="s">
        <v>106</v>
      </c>
      <c r="I32" s="887" t="str">
        <f>IF(I31&lt;J31+K31,"Error - Lengths Retained and Enhanced Exceed Total Length ▲","Lengths Acceptable ✓")</f>
        <v>Lengths Acceptable ✓</v>
      </c>
      <c r="J32" s="887"/>
      <c r="K32" s="887"/>
      <c r="L32" s="887"/>
      <c r="M32" s="887"/>
      <c r="N32" s="888"/>
      <c r="O32" s="161">
        <f>IFERROR(FIND("Error",#REF!),0)</f>
        <v>0</v>
      </c>
      <c r="R32" s="104"/>
      <c r="AJ32" s="161"/>
      <c r="AK32" s="161"/>
      <c r="AL32" s="161"/>
      <c r="AM32" s="161"/>
      <c r="AN32" s="161"/>
      <c r="AR32" s="161"/>
    </row>
    <row r="33" spans="2:44" s="25" customFormat="1" ht="15.75" thickBot="1" x14ac:dyDescent="0.3">
      <c r="D33" s="89"/>
      <c r="E33" s="103"/>
      <c r="F33" s="103"/>
      <c r="G33" s="103"/>
      <c r="H33" s="276" t="s">
        <v>106</v>
      </c>
      <c r="I33" s="935" t="str">
        <f>IF(I31&lt;5000,"Lengths Acceptable ✓",IF(I31&gt;=5000,"Length Exceeds Length Appropriate for Small Sites Metric ▲"))</f>
        <v>Lengths Acceptable ✓</v>
      </c>
      <c r="J33" s="897"/>
      <c r="K33" s="897"/>
      <c r="L33" s="897"/>
      <c r="M33" s="897"/>
      <c r="N33" s="898"/>
      <c r="O33" s="161">
        <f>COUNTIF(L11:N30,"*"&amp;"error"&amp;"*")</f>
        <v>0</v>
      </c>
      <c r="R33" s="104"/>
      <c r="AJ33" s="161"/>
      <c r="AK33" s="161"/>
      <c r="AL33" s="161"/>
      <c r="AM33" s="161"/>
      <c r="AN33" s="161"/>
      <c r="AR33" s="161"/>
    </row>
    <row r="34" spans="2:44" s="25" customFormat="1" x14ac:dyDescent="0.25">
      <c r="D34" s="89"/>
      <c r="E34" s="103"/>
      <c r="F34" s="103"/>
      <c r="G34" s="103"/>
      <c r="H34" s="103"/>
      <c r="I34" s="103"/>
      <c r="J34" s="103"/>
      <c r="K34" s="103"/>
      <c r="L34" s="103"/>
      <c r="M34" s="103"/>
      <c r="N34" s="103"/>
      <c r="O34" s="26"/>
      <c r="R34" s="646" t="s">
        <v>64</v>
      </c>
      <c r="AJ34" s="161"/>
      <c r="AK34" s="161"/>
      <c r="AL34" s="161"/>
      <c r="AM34" s="161"/>
      <c r="AN34" s="161"/>
      <c r="AR34" s="161"/>
    </row>
    <row r="35" spans="2:44" s="25" customFormat="1" ht="21" x14ac:dyDescent="0.35">
      <c r="B35" s="57" t="s">
        <v>109</v>
      </c>
      <c r="D35" s="88"/>
      <c r="E35" s="103"/>
      <c r="F35" s="103"/>
      <c r="G35" s="103"/>
      <c r="I35" s="26"/>
      <c r="R35" s="646"/>
      <c r="AJ35" s="161"/>
      <c r="AK35" s="161"/>
      <c r="AL35" s="161"/>
      <c r="AM35" s="161"/>
      <c r="AN35" s="161"/>
      <c r="AR35" s="161"/>
    </row>
    <row r="36" spans="2:44" s="25" customFormat="1" ht="15.75" customHeight="1" thickBot="1" x14ac:dyDescent="0.3">
      <c r="R36" s="646"/>
      <c r="AJ36" s="161"/>
      <c r="AK36" s="161"/>
      <c r="AL36" s="161"/>
      <c r="AM36" s="161"/>
      <c r="AN36" s="161"/>
      <c r="AR36" s="161"/>
    </row>
    <row r="37" spans="2:44" s="25" customFormat="1" ht="16.149999999999999" customHeight="1" thickBot="1" x14ac:dyDescent="0.3">
      <c r="B37" s="728" t="s">
        <v>58</v>
      </c>
      <c r="C37" s="718"/>
      <c r="D37" s="731"/>
      <c r="E37" s="717" t="s">
        <v>110</v>
      </c>
      <c r="F37" s="777"/>
      <c r="G37" s="719"/>
      <c r="H37" s="777" t="s">
        <v>111</v>
      </c>
      <c r="I37" s="749" t="s">
        <v>237</v>
      </c>
      <c r="J37" s="750"/>
      <c r="K37" s="750"/>
      <c r="L37" s="717" t="s">
        <v>262</v>
      </c>
      <c r="M37" s="718"/>
      <c r="N37" s="719"/>
      <c r="O37" s="762" t="s">
        <v>77</v>
      </c>
      <c r="P37" s="719"/>
      <c r="R37" s="646"/>
      <c r="T37" s="929" t="s">
        <v>78</v>
      </c>
      <c r="U37" s="930"/>
      <c r="V37" s="931"/>
      <c r="W37" s="926" t="s">
        <v>79</v>
      </c>
      <c r="X37" s="928"/>
      <c r="Y37" s="756"/>
      <c r="Z37" s="756"/>
      <c r="AA37" s="756"/>
      <c r="AB37" s="926" t="s">
        <v>80</v>
      </c>
      <c r="AC37" s="927"/>
      <c r="AD37" s="928"/>
      <c r="AE37" s="922" t="s">
        <v>114</v>
      </c>
      <c r="AF37" s="923"/>
      <c r="AG37" s="922" t="s">
        <v>115</v>
      </c>
      <c r="AH37" s="923"/>
      <c r="AI37" s="966" t="s">
        <v>263</v>
      </c>
      <c r="AJ37" s="161"/>
      <c r="AK37" s="161"/>
      <c r="AL37" s="161"/>
      <c r="AM37" s="161"/>
      <c r="AN37" s="161"/>
      <c r="AR37" s="161"/>
    </row>
    <row r="38" spans="2:44" s="25" customFormat="1" ht="32.25" thickBot="1" x14ac:dyDescent="0.3">
      <c r="B38" s="729"/>
      <c r="C38" s="201" t="s">
        <v>84</v>
      </c>
      <c r="D38" s="202" t="s">
        <v>116</v>
      </c>
      <c r="E38" s="86" t="s">
        <v>117</v>
      </c>
      <c r="F38" s="715" t="s">
        <v>118</v>
      </c>
      <c r="G38" s="716"/>
      <c r="H38" s="778"/>
      <c r="I38" s="752"/>
      <c r="J38" s="753"/>
      <c r="K38" s="753"/>
      <c r="L38" s="884"/>
      <c r="M38" s="885"/>
      <c r="N38" s="886"/>
      <c r="O38" s="200" t="s">
        <v>92</v>
      </c>
      <c r="P38" s="90" t="s">
        <v>93</v>
      </c>
      <c r="R38" s="646"/>
      <c r="T38" s="922" t="s">
        <v>94</v>
      </c>
      <c r="U38" s="932"/>
      <c r="V38" s="534" t="s">
        <v>95</v>
      </c>
      <c r="W38" s="112" t="s">
        <v>96</v>
      </c>
      <c r="X38" s="113" t="s">
        <v>95</v>
      </c>
      <c r="Y38" s="375"/>
      <c r="Z38" s="369"/>
      <c r="AA38" s="535"/>
      <c r="AB38" s="112" t="s">
        <v>80</v>
      </c>
      <c r="AC38" s="508" t="s">
        <v>80</v>
      </c>
      <c r="AD38" s="113" t="s">
        <v>97</v>
      </c>
      <c r="AE38" s="112" t="s">
        <v>119</v>
      </c>
      <c r="AF38" s="113" t="s">
        <v>120</v>
      </c>
      <c r="AG38" s="112" t="s">
        <v>121</v>
      </c>
      <c r="AH38" s="113" t="s">
        <v>122</v>
      </c>
      <c r="AI38" s="967"/>
      <c r="AJ38" s="161"/>
      <c r="AK38" s="161"/>
      <c r="AL38" s="161"/>
      <c r="AM38" s="161"/>
      <c r="AN38" s="161"/>
      <c r="AR38" s="161"/>
    </row>
    <row r="39" spans="2:44" s="25" customFormat="1" ht="15.75" x14ac:dyDescent="0.25">
      <c r="B39" s="274">
        <v>1</v>
      </c>
      <c r="C39" s="141" t="s">
        <v>261</v>
      </c>
      <c r="D39" s="142"/>
      <c r="E39" s="143" t="str">
        <f>IF(D39="","",VLOOKUP(D39,'10. Condition and Temporal'!$B$6:$D$103,3,FALSE))</f>
        <v/>
      </c>
      <c r="F39" s="818"/>
      <c r="G39" s="819"/>
      <c r="H39" s="144"/>
      <c r="I39" s="961"/>
      <c r="J39" s="962"/>
      <c r="K39" s="962"/>
      <c r="L39" s="941" t="str">
        <f>IF(D39="","",IFERROR(IF(I39="","",((I39/1000)*(V39*X39))*(AH39*AF39)*AD39*AI39),"This intervention is not permitted within the SSM ▲"))</f>
        <v/>
      </c>
      <c r="M39" s="942"/>
      <c r="N39" s="943"/>
      <c r="O39" s="221"/>
      <c r="P39" s="145"/>
      <c r="Q39" s="106"/>
      <c r="R39" s="646"/>
      <c r="T39" s="933" t="str">
        <f>IF(D39="","",VLOOKUP(D39,'9. All Habitats + Multipliers'!$C$4:$K$102,5,FALSE))</f>
        <v/>
      </c>
      <c r="U39" s="934"/>
      <c r="V39" s="367" t="str">
        <f>IF(T39="","",VLOOKUP(T39,'11. Lists'!$B$47:$D$49,2,FALSE))</f>
        <v/>
      </c>
      <c r="W39" s="365" t="str">
        <f>IF(F39="","",F39)</f>
        <v/>
      </c>
      <c r="X39" s="367" t="str">
        <f>IF(W39="","",VLOOKUP(W39,'11. Lists'!$F$47:$G$51,2,FALSE))</f>
        <v/>
      </c>
      <c r="Y39" s="376"/>
      <c r="Z39" s="347"/>
      <c r="AA39" s="515"/>
      <c r="AB39" s="115" t="str">
        <f>IF(H39="","",H39)</f>
        <v/>
      </c>
      <c r="AC39" s="117" t="str">
        <f>IF(AB39="","",VLOOKUP(AB39,'11. Lists'!$F$36:$H$38,2,FALSE))</f>
        <v/>
      </c>
      <c r="AD39" s="116" t="str">
        <f>IF(AB39="","",VLOOKUP(AB39,'11. Lists'!$F$36:$H$38,3,FALSE))</f>
        <v/>
      </c>
      <c r="AE39" s="365"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8" t="str">
        <f>IF(AE39="","",VLOOKUP(AE39,'11. Lists'!$I$47:$K$80,3,FALSE))</f>
        <v/>
      </c>
      <c r="AG39" s="365" t="str">
        <f>IF(D39="","",VLOOKUP(D39,'9. All Habitats + Multipliers'!$C$4:$K$102,7,FALSE))</f>
        <v/>
      </c>
      <c r="AH39" s="367" t="str">
        <f>IF(AG39="","",VLOOKUP(AG39,'11. Lists'!$J$35:$K$38,2,FALSE))</f>
        <v/>
      </c>
      <c r="AI39" s="536" t="str" cm="1">
        <f t="array" ref="AI39:AI58">IF($D$39:$D$58="Culvert","0.68","1")</f>
        <v>1</v>
      </c>
      <c r="AJ39" s="161"/>
      <c r="AK39" s="161"/>
      <c r="AL39" s="161"/>
      <c r="AM39" s="161"/>
      <c r="AN39" s="161"/>
      <c r="AR39" s="161"/>
    </row>
    <row r="40" spans="2:44" s="25" customFormat="1" ht="15.75" x14ac:dyDescent="0.25">
      <c r="B40" s="268">
        <v>2</v>
      </c>
      <c r="C40" s="140" t="s">
        <v>261</v>
      </c>
      <c r="D40" s="73"/>
      <c r="E40" s="105" t="str">
        <f>IF(D40="","",VLOOKUP(D40,'10. Condition and Temporal'!$B$6:$D$103,3,FALSE))</f>
        <v/>
      </c>
      <c r="F40" s="701"/>
      <c r="G40" s="702"/>
      <c r="H40" s="71"/>
      <c r="I40" s="710"/>
      <c r="J40" s="711"/>
      <c r="K40" s="711"/>
      <c r="L40" s="941" t="str">
        <f t="shared" ref="L40:L58" si="9">IF(D40="","",IFERROR(IF(I40="","",((I40/1000)*(V40*X40))*(AH40*AF40)*AD40*AI40),"This intervention is not permitted within the SSM ▲"))</f>
        <v/>
      </c>
      <c r="M40" s="942"/>
      <c r="N40" s="943"/>
      <c r="O40" s="74"/>
      <c r="P40" s="12"/>
      <c r="Q40" s="106"/>
      <c r="R40" s="646"/>
      <c r="T40" s="655" t="str">
        <f>IF(D40="","",VLOOKUP(D40,'9. All Habitats + Multipliers'!$C$4:$K$102,5,FALSE))</f>
        <v/>
      </c>
      <c r="U40" s="656"/>
      <c r="V40" s="94" t="str">
        <f>IF(T40="","",VLOOKUP(T40,'11. Lists'!$B$47:$D$49,2,FALSE))</f>
        <v/>
      </c>
      <c r="W40" s="93" t="str">
        <f>IF(F40="","",F40)</f>
        <v/>
      </c>
      <c r="X40" s="94" t="str">
        <f>IF(W40="","",VLOOKUP(W40,'11. Lists'!$F$47:$G$51,2,FALSE))</f>
        <v/>
      </c>
      <c r="Y40" s="376"/>
      <c r="Z40" s="347"/>
      <c r="AA40" s="515"/>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90" t="str">
        <v>1</v>
      </c>
      <c r="AJ40" s="161"/>
      <c r="AK40" s="161"/>
      <c r="AL40" s="161"/>
      <c r="AM40" s="161"/>
      <c r="AN40" s="161"/>
      <c r="AR40" s="161"/>
    </row>
    <row r="41" spans="2:44" s="25" customFormat="1" ht="15.75" x14ac:dyDescent="0.25">
      <c r="B41" s="268">
        <v>3</v>
      </c>
      <c r="C41" s="140" t="s">
        <v>261</v>
      </c>
      <c r="D41" s="73"/>
      <c r="E41" s="105" t="str">
        <f>IF(D41="","",VLOOKUP(D41,'10. Condition and Temporal'!$B$6:$D$103,3,FALSE))</f>
        <v/>
      </c>
      <c r="F41" s="701"/>
      <c r="G41" s="702"/>
      <c r="H41" s="71"/>
      <c r="I41" s="710"/>
      <c r="J41" s="711"/>
      <c r="K41" s="711"/>
      <c r="L41" s="941" t="str">
        <f t="shared" si="9"/>
        <v/>
      </c>
      <c r="M41" s="942"/>
      <c r="N41" s="943"/>
      <c r="O41" s="74"/>
      <c r="P41" s="12"/>
      <c r="Q41" s="106"/>
      <c r="R41" s="646"/>
      <c r="T41" s="655" t="str">
        <f>IF(D41="","",VLOOKUP(D41,'9. All Habitats + Multipliers'!$C$4:$K$102,5,FALSE))</f>
        <v/>
      </c>
      <c r="U41" s="656"/>
      <c r="V41" s="94" t="str">
        <f>IF(T41="","",VLOOKUP(T41,'11. Lists'!$B$47:$D$49,2,FALSE))</f>
        <v/>
      </c>
      <c r="W41" s="93" t="str">
        <f>IF(F41="","",F41)</f>
        <v/>
      </c>
      <c r="X41" s="94" t="str">
        <f>IF(W41="","",VLOOKUP(W41,'11. Lists'!$F$47:$G$51,2,FALSE))</f>
        <v/>
      </c>
      <c r="Y41" s="376"/>
      <c r="Z41" s="347"/>
      <c r="AA41" s="515"/>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90" t="str">
        <v>1</v>
      </c>
      <c r="AJ41" s="161"/>
      <c r="AK41" s="161"/>
      <c r="AL41" s="161"/>
      <c r="AM41" s="161"/>
      <c r="AN41" s="161"/>
      <c r="AR41" s="161"/>
    </row>
    <row r="42" spans="2:44" s="25" customFormat="1" ht="15.75" x14ac:dyDescent="0.25">
      <c r="B42" s="268">
        <v>4</v>
      </c>
      <c r="C42" s="140" t="s">
        <v>261</v>
      </c>
      <c r="D42" s="73"/>
      <c r="E42" s="105" t="str">
        <f>IF(D42="","",VLOOKUP(D42,'10. Condition and Temporal'!$B$6:$D$103,3,FALSE))</f>
        <v/>
      </c>
      <c r="F42" s="701"/>
      <c r="G42" s="702"/>
      <c r="H42" s="71"/>
      <c r="I42" s="710"/>
      <c r="J42" s="711"/>
      <c r="K42" s="711"/>
      <c r="L42" s="941" t="str">
        <f t="shared" si="9"/>
        <v/>
      </c>
      <c r="M42" s="942"/>
      <c r="N42" s="943"/>
      <c r="O42" s="74"/>
      <c r="P42" s="12"/>
      <c r="Q42" s="106"/>
      <c r="R42" s="646"/>
      <c r="T42" s="655" t="str">
        <f>IF(D42="","",VLOOKUP(D42,'9. All Habitats + Multipliers'!$C$4:$K$102,5,FALSE))</f>
        <v/>
      </c>
      <c r="U42" s="656"/>
      <c r="V42" s="94" t="str">
        <f>IF(T42="","",VLOOKUP(T42,'11. Lists'!$B$47:$D$49,2,FALSE))</f>
        <v/>
      </c>
      <c r="W42" s="93" t="str">
        <f>IF(F42="","",F42)</f>
        <v/>
      </c>
      <c r="X42" s="94" t="str">
        <f>IF(W42="","",VLOOKUP(W42,'11. Lists'!$F$47:$G$51,2,FALSE))</f>
        <v/>
      </c>
      <c r="Y42" s="376"/>
      <c r="Z42" s="347"/>
      <c r="AA42" s="515"/>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90" t="str">
        <v>1</v>
      </c>
      <c r="AJ42" s="161"/>
      <c r="AK42" s="161"/>
      <c r="AL42" s="161"/>
      <c r="AM42" s="161"/>
      <c r="AN42" s="161"/>
      <c r="AR42" s="161"/>
    </row>
    <row r="43" spans="2:44" s="25" customFormat="1" ht="15.75" x14ac:dyDescent="0.25">
      <c r="B43" s="268">
        <v>5</v>
      </c>
      <c r="C43" s="140" t="s">
        <v>261</v>
      </c>
      <c r="D43" s="73"/>
      <c r="E43" s="105" t="str">
        <f>IF(D43="","",VLOOKUP(D43,'10. Condition and Temporal'!$B$6:$D$103,3,FALSE))</f>
        <v/>
      </c>
      <c r="F43" s="701"/>
      <c r="G43" s="702"/>
      <c r="H43" s="71"/>
      <c r="I43" s="710"/>
      <c r="J43" s="711"/>
      <c r="K43" s="711"/>
      <c r="L43" s="941" t="str">
        <f t="shared" si="9"/>
        <v/>
      </c>
      <c r="M43" s="942"/>
      <c r="N43" s="943"/>
      <c r="O43" s="74"/>
      <c r="P43" s="12"/>
      <c r="R43" s="646"/>
      <c r="T43" s="655" t="str">
        <f>IF(D43="","",VLOOKUP(D43,'9. All Habitats + Multipliers'!$C$4:$K$102,5,FALSE))</f>
        <v/>
      </c>
      <c r="U43" s="656"/>
      <c r="V43" s="94" t="str">
        <f>IF(T43="","",VLOOKUP(T43,'11. Lists'!$B$47:$D$49,2,FALSE))</f>
        <v/>
      </c>
      <c r="W43" s="93" t="str">
        <f t="shared" ref="W43:W58" si="11">IF(F43="","",F43)</f>
        <v/>
      </c>
      <c r="X43" s="94" t="str">
        <f>IF(W43="","",VLOOKUP(W43,'11. Lists'!$F$47:$G$51,2,FALSE))</f>
        <v/>
      </c>
      <c r="Y43" s="376"/>
      <c r="Z43" s="347"/>
      <c r="AA43" s="515"/>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90" t="str">
        <v>1</v>
      </c>
      <c r="AJ43" s="161"/>
      <c r="AK43" s="161"/>
      <c r="AL43" s="161"/>
      <c r="AM43" s="161"/>
      <c r="AN43" s="161"/>
      <c r="AR43" s="161"/>
    </row>
    <row r="44" spans="2:44" s="25" customFormat="1" ht="15.75" x14ac:dyDescent="0.25">
      <c r="B44" s="268">
        <v>6</v>
      </c>
      <c r="C44" s="140" t="s">
        <v>261</v>
      </c>
      <c r="D44" s="73"/>
      <c r="E44" s="105" t="str">
        <f>IF(D44="","",VLOOKUP(D44,'10. Condition and Temporal'!$B$6:$D$103,3,FALSE))</f>
        <v/>
      </c>
      <c r="F44" s="701"/>
      <c r="G44" s="702"/>
      <c r="H44" s="71"/>
      <c r="I44" s="710"/>
      <c r="J44" s="711"/>
      <c r="K44" s="711"/>
      <c r="L44" s="941" t="str">
        <f t="shared" si="9"/>
        <v/>
      </c>
      <c r="M44" s="942"/>
      <c r="N44" s="943"/>
      <c r="O44" s="74"/>
      <c r="P44" s="12"/>
      <c r="R44" s="646"/>
      <c r="T44" s="655" t="str">
        <f>IF(D44="","",VLOOKUP(D44,'9. All Habitats + Multipliers'!$C$4:$K$102,5,FALSE))</f>
        <v/>
      </c>
      <c r="U44" s="656"/>
      <c r="V44" s="94" t="str">
        <f>IF(T44="","",VLOOKUP(T44,'11. Lists'!$B$47:$D$49,2,FALSE))</f>
        <v/>
      </c>
      <c r="W44" s="93" t="str">
        <f t="shared" si="11"/>
        <v/>
      </c>
      <c r="X44" s="94" t="str">
        <f>IF(W44="","",VLOOKUP(W44,'11. Lists'!$F$47:$G$51,2,FALSE))</f>
        <v/>
      </c>
      <c r="Y44" s="376"/>
      <c r="Z44" s="347"/>
      <c r="AA44" s="515"/>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90" t="str">
        <v>1</v>
      </c>
      <c r="AJ44" s="161"/>
      <c r="AK44" s="161"/>
      <c r="AL44" s="161"/>
      <c r="AM44" s="161"/>
      <c r="AN44" s="161"/>
      <c r="AR44" s="161"/>
    </row>
    <row r="45" spans="2:44" s="25" customFormat="1" ht="15.75" x14ac:dyDescent="0.25">
      <c r="B45" s="268">
        <v>7</v>
      </c>
      <c r="C45" s="140" t="s">
        <v>261</v>
      </c>
      <c r="D45" s="73"/>
      <c r="E45" s="105" t="str">
        <f>IF(D45="","",VLOOKUP(D45,'10. Condition and Temporal'!$B$6:$D$103,3,FALSE))</f>
        <v/>
      </c>
      <c r="F45" s="701"/>
      <c r="G45" s="702"/>
      <c r="H45" s="71"/>
      <c r="I45" s="710"/>
      <c r="J45" s="711"/>
      <c r="K45" s="711"/>
      <c r="L45" s="941" t="str">
        <f t="shared" si="9"/>
        <v/>
      </c>
      <c r="M45" s="942"/>
      <c r="N45" s="943"/>
      <c r="O45" s="74"/>
      <c r="P45" s="12"/>
      <c r="R45" s="646"/>
      <c r="T45" s="655" t="str">
        <f>IF(D45="","",VLOOKUP(D45,'9. All Habitats + Multipliers'!$C$4:$K$102,5,FALSE))</f>
        <v/>
      </c>
      <c r="U45" s="656"/>
      <c r="V45" s="94" t="str">
        <f>IF(T45="","",VLOOKUP(T45,'11. Lists'!$B$47:$D$49,2,FALSE))</f>
        <v/>
      </c>
      <c r="W45" s="93" t="str">
        <f t="shared" si="11"/>
        <v/>
      </c>
      <c r="X45" s="94" t="str">
        <f>IF(W45="","",VLOOKUP(W45,'11. Lists'!$F$47:$G$51,2,FALSE))</f>
        <v/>
      </c>
      <c r="Y45" s="376"/>
      <c r="Z45" s="347"/>
      <c r="AA45" s="515"/>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90" t="str">
        <v>1</v>
      </c>
      <c r="AJ45" s="161"/>
      <c r="AK45" s="161"/>
      <c r="AL45" s="161"/>
      <c r="AM45" s="161"/>
      <c r="AN45" s="161"/>
      <c r="AR45" s="161"/>
    </row>
    <row r="46" spans="2:44" s="25" customFormat="1" ht="15.75" x14ac:dyDescent="0.25">
      <c r="B46" s="268">
        <v>8</v>
      </c>
      <c r="C46" s="140" t="s">
        <v>261</v>
      </c>
      <c r="D46" s="73"/>
      <c r="E46" s="105" t="str">
        <f>IF(D46="","",VLOOKUP(D46,'10. Condition and Temporal'!$B$6:$D$103,3,FALSE))</f>
        <v/>
      </c>
      <c r="F46" s="701"/>
      <c r="G46" s="702"/>
      <c r="H46" s="71"/>
      <c r="I46" s="710"/>
      <c r="J46" s="711"/>
      <c r="K46" s="711"/>
      <c r="L46" s="941" t="str">
        <f t="shared" si="9"/>
        <v/>
      </c>
      <c r="M46" s="942"/>
      <c r="N46" s="943"/>
      <c r="O46" s="74"/>
      <c r="P46" s="12"/>
      <c r="R46" s="646"/>
      <c r="T46" s="655" t="str">
        <f>IF(D46="","",VLOOKUP(D46,'9. All Habitats + Multipliers'!$C$4:$K$102,5,FALSE))</f>
        <v/>
      </c>
      <c r="U46" s="656"/>
      <c r="V46" s="94" t="str">
        <f>IF(T46="","",VLOOKUP(T46,'11. Lists'!$B$47:$D$49,2,FALSE))</f>
        <v/>
      </c>
      <c r="W46" s="93" t="str">
        <f t="shared" si="11"/>
        <v/>
      </c>
      <c r="X46" s="94" t="str">
        <f>IF(W46="","",VLOOKUP(W46,'11. Lists'!$F$47:$G$51,2,FALSE))</f>
        <v/>
      </c>
      <c r="Y46" s="376"/>
      <c r="Z46" s="347"/>
      <c r="AA46" s="515"/>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90" t="str">
        <v>1</v>
      </c>
      <c r="AJ46" s="161"/>
      <c r="AK46" s="161"/>
      <c r="AL46" s="161"/>
      <c r="AM46" s="161"/>
      <c r="AN46" s="161"/>
      <c r="AR46" s="161"/>
    </row>
    <row r="47" spans="2:44" s="25" customFormat="1" ht="15.75" x14ac:dyDescent="0.25">
      <c r="B47" s="268">
        <v>9</v>
      </c>
      <c r="C47" s="140" t="s">
        <v>261</v>
      </c>
      <c r="D47" s="73"/>
      <c r="E47" s="105" t="str">
        <f>IF(D47="","",VLOOKUP(D47,'10. Condition and Temporal'!$B$6:$D$103,3,FALSE))</f>
        <v/>
      </c>
      <c r="F47" s="701"/>
      <c r="G47" s="702"/>
      <c r="H47" s="71"/>
      <c r="I47" s="710"/>
      <c r="J47" s="711"/>
      <c r="K47" s="711"/>
      <c r="L47" s="941" t="str">
        <f t="shared" si="9"/>
        <v/>
      </c>
      <c r="M47" s="942"/>
      <c r="N47" s="943"/>
      <c r="O47" s="74"/>
      <c r="P47" s="12"/>
      <c r="R47" s="646"/>
      <c r="T47" s="655" t="str">
        <f>IF(D47="","",VLOOKUP(D47,'9. All Habitats + Multipliers'!$C$4:$K$102,5,FALSE))</f>
        <v/>
      </c>
      <c r="U47" s="656"/>
      <c r="V47" s="94" t="str">
        <f>IF(T47="","",VLOOKUP(T47,'11. Lists'!$B$47:$D$49,2,FALSE))</f>
        <v/>
      </c>
      <c r="W47" s="93" t="str">
        <f t="shared" si="11"/>
        <v/>
      </c>
      <c r="X47" s="94" t="str">
        <f>IF(W47="","",VLOOKUP(W47,'11. Lists'!$F$47:$G$51,2,FALSE))</f>
        <v/>
      </c>
      <c r="Y47" s="376"/>
      <c r="Z47" s="347"/>
      <c r="AA47" s="515"/>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90" t="str">
        <v>1</v>
      </c>
      <c r="AJ47" s="161"/>
      <c r="AK47" s="161"/>
      <c r="AL47" s="161"/>
      <c r="AM47" s="161"/>
      <c r="AN47" s="161"/>
      <c r="AR47" s="161"/>
    </row>
    <row r="48" spans="2:44" s="25" customFormat="1" ht="15.75" x14ac:dyDescent="0.25">
      <c r="B48" s="268">
        <v>10</v>
      </c>
      <c r="C48" s="140" t="s">
        <v>261</v>
      </c>
      <c r="D48" s="73"/>
      <c r="E48" s="105" t="str">
        <f>IF(D48="","",VLOOKUP(D48,'10. Condition and Temporal'!$B$6:$D$103,3,FALSE))</f>
        <v/>
      </c>
      <c r="F48" s="701"/>
      <c r="G48" s="702"/>
      <c r="H48" s="71"/>
      <c r="I48" s="710"/>
      <c r="J48" s="711"/>
      <c r="K48" s="711"/>
      <c r="L48" s="941" t="str">
        <f t="shared" si="9"/>
        <v/>
      </c>
      <c r="M48" s="942"/>
      <c r="N48" s="943"/>
      <c r="O48" s="74"/>
      <c r="P48" s="12"/>
      <c r="R48" s="646"/>
      <c r="T48" s="655" t="str">
        <f>IF(D48="","",VLOOKUP(D48,'9. All Habitats + Multipliers'!$C$4:$K$102,5,FALSE))</f>
        <v/>
      </c>
      <c r="U48" s="656"/>
      <c r="V48" s="94" t="str">
        <f>IF(T48="","",VLOOKUP(T48,'11. Lists'!$B$47:$D$49,2,FALSE))</f>
        <v/>
      </c>
      <c r="W48" s="93" t="str">
        <f t="shared" si="11"/>
        <v/>
      </c>
      <c r="X48" s="94" t="str">
        <f>IF(W48="","",VLOOKUP(W48,'11. Lists'!$F$47:$G$51,2,FALSE))</f>
        <v/>
      </c>
      <c r="Y48" s="376"/>
      <c r="Z48" s="347"/>
      <c r="AA48" s="515"/>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90" t="str">
        <v>1</v>
      </c>
      <c r="AJ48" s="161"/>
      <c r="AK48" s="161"/>
      <c r="AL48" s="161"/>
      <c r="AM48" s="161"/>
      <c r="AN48" s="161"/>
      <c r="AR48" s="161"/>
    </row>
    <row r="49" spans="1:73" s="25" customFormat="1" ht="15.75" x14ac:dyDescent="0.25">
      <c r="B49" s="268">
        <v>11</v>
      </c>
      <c r="C49" s="140" t="s">
        <v>261</v>
      </c>
      <c r="D49" s="73"/>
      <c r="E49" s="105" t="str">
        <f>IF(D49="","",VLOOKUP(D49,'10. Condition and Temporal'!$B$6:$D$103,3,FALSE))</f>
        <v/>
      </c>
      <c r="F49" s="701"/>
      <c r="G49" s="702"/>
      <c r="H49" s="71"/>
      <c r="I49" s="710"/>
      <c r="J49" s="711"/>
      <c r="K49" s="711"/>
      <c r="L49" s="941" t="str">
        <f t="shared" si="9"/>
        <v/>
      </c>
      <c r="M49" s="942"/>
      <c r="N49" s="943"/>
      <c r="O49" s="74"/>
      <c r="P49" s="12"/>
      <c r="R49" s="646"/>
      <c r="T49" s="655" t="str">
        <f>IF(D49="","",VLOOKUP(D49,'9. All Habitats + Multipliers'!$C$4:$K$102,5,FALSE))</f>
        <v/>
      </c>
      <c r="U49" s="656"/>
      <c r="V49" s="94" t="str">
        <f>IF(T49="","",VLOOKUP(T49,'11. Lists'!$B$47:$D$49,2,FALSE))</f>
        <v/>
      </c>
      <c r="W49" s="93" t="str">
        <f t="shared" si="11"/>
        <v/>
      </c>
      <c r="X49" s="94" t="str">
        <f>IF(W49="","",VLOOKUP(W49,'11. Lists'!$F$47:$G$51,2,FALSE))</f>
        <v/>
      </c>
      <c r="Y49" s="376"/>
      <c r="Z49" s="347"/>
      <c r="AA49" s="515"/>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90" t="str">
        <v>1</v>
      </c>
      <c r="AJ49" s="161"/>
      <c r="AK49" s="161"/>
      <c r="AL49" s="161"/>
      <c r="AM49" s="161"/>
      <c r="AN49" s="161"/>
      <c r="AR49" s="161"/>
    </row>
    <row r="50" spans="1:73" s="25" customFormat="1" ht="15.75" x14ac:dyDescent="0.25">
      <c r="B50" s="268">
        <v>12</v>
      </c>
      <c r="C50" s="140" t="s">
        <v>261</v>
      </c>
      <c r="D50" s="73"/>
      <c r="E50" s="105" t="str">
        <f>IF(D50="","",VLOOKUP(D50,'10. Condition and Temporal'!$B$6:$D$103,3,FALSE))</f>
        <v/>
      </c>
      <c r="F50" s="701"/>
      <c r="G50" s="702"/>
      <c r="H50" s="71"/>
      <c r="I50" s="710"/>
      <c r="J50" s="711"/>
      <c r="K50" s="711"/>
      <c r="L50" s="941" t="str">
        <f t="shared" si="9"/>
        <v/>
      </c>
      <c r="M50" s="942"/>
      <c r="N50" s="943"/>
      <c r="O50" s="74"/>
      <c r="P50" s="12"/>
      <c r="R50" s="646"/>
      <c r="T50" s="655" t="str">
        <f>IF(D50="","",VLOOKUP(D50,'9. All Habitats + Multipliers'!$C$4:$K$102,5,FALSE))</f>
        <v/>
      </c>
      <c r="U50" s="656"/>
      <c r="V50" s="94" t="str">
        <f>IF(T50="","",VLOOKUP(T50,'11. Lists'!$B$47:$D$49,2,FALSE))</f>
        <v/>
      </c>
      <c r="W50" s="93" t="str">
        <f t="shared" si="11"/>
        <v/>
      </c>
      <c r="X50" s="94" t="str">
        <f>IF(W50="","",VLOOKUP(W50,'11. Lists'!$F$47:$G$51,2,FALSE))</f>
        <v/>
      </c>
      <c r="Y50" s="376"/>
      <c r="Z50" s="347"/>
      <c r="AA50" s="515"/>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90" t="str">
        <v>1</v>
      </c>
      <c r="AJ50" s="161"/>
      <c r="AK50" s="161"/>
      <c r="AL50" s="161"/>
      <c r="AM50" s="161"/>
      <c r="AN50" s="161"/>
    </row>
    <row r="51" spans="1:73" s="25" customFormat="1" ht="15.75" x14ac:dyDescent="0.25">
      <c r="B51" s="268">
        <v>13</v>
      </c>
      <c r="C51" s="140" t="s">
        <v>261</v>
      </c>
      <c r="D51" s="73"/>
      <c r="E51" s="105" t="str">
        <f>IF(D51="","",VLOOKUP(D51,'10. Condition and Temporal'!$B$6:$D$103,3,FALSE))</f>
        <v/>
      </c>
      <c r="F51" s="701"/>
      <c r="G51" s="702"/>
      <c r="H51" s="71"/>
      <c r="I51" s="710"/>
      <c r="J51" s="711"/>
      <c r="K51" s="711"/>
      <c r="L51" s="941" t="str">
        <f t="shared" si="9"/>
        <v/>
      </c>
      <c r="M51" s="942"/>
      <c r="N51" s="943"/>
      <c r="O51" s="74"/>
      <c r="P51" s="12"/>
      <c r="R51" s="646"/>
      <c r="T51" s="655" t="str">
        <f>IF(D51="","",VLOOKUP(D51,'9. All Habitats + Multipliers'!$C$4:$K$102,5,FALSE))</f>
        <v/>
      </c>
      <c r="U51" s="656"/>
      <c r="V51" s="94" t="str">
        <f>IF(T51="","",VLOOKUP(T51,'11. Lists'!$B$47:$D$49,2,FALSE))</f>
        <v/>
      </c>
      <c r="W51" s="93" t="str">
        <f t="shared" si="11"/>
        <v/>
      </c>
      <c r="X51" s="94" t="str">
        <f>IF(W51="","",VLOOKUP(W51,'11. Lists'!$F$47:$G$51,2,FALSE))</f>
        <v/>
      </c>
      <c r="Y51" s="376"/>
      <c r="Z51" s="347"/>
      <c r="AA51" s="515"/>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90" t="str">
        <v>1</v>
      </c>
      <c r="AJ51" s="161"/>
      <c r="AK51" s="161"/>
      <c r="AL51" s="161"/>
      <c r="AM51" s="161"/>
      <c r="AN51" s="161"/>
    </row>
    <row r="52" spans="1:73" s="25" customFormat="1" ht="15.75" x14ac:dyDescent="0.25">
      <c r="B52" s="268">
        <v>14</v>
      </c>
      <c r="C52" s="140" t="s">
        <v>261</v>
      </c>
      <c r="D52" s="73"/>
      <c r="E52" s="105" t="str">
        <f>IF(D52="","",VLOOKUP(D52,'10. Condition and Temporal'!$B$6:$D$103,3,FALSE))</f>
        <v/>
      </c>
      <c r="F52" s="701"/>
      <c r="G52" s="702"/>
      <c r="H52" s="71"/>
      <c r="I52" s="710"/>
      <c r="J52" s="711"/>
      <c r="K52" s="711"/>
      <c r="L52" s="941" t="str">
        <f t="shared" si="9"/>
        <v/>
      </c>
      <c r="M52" s="942"/>
      <c r="N52" s="943"/>
      <c r="O52" s="74"/>
      <c r="P52" s="12"/>
      <c r="R52" s="646"/>
      <c r="T52" s="655" t="str">
        <f>IF(D52="","",VLOOKUP(D52,'9. All Habitats + Multipliers'!$C$4:$K$102,5,FALSE))</f>
        <v/>
      </c>
      <c r="U52" s="656"/>
      <c r="V52" s="94" t="str">
        <f>IF(T52="","",VLOOKUP(T52,'11. Lists'!$B$47:$D$49,2,FALSE))</f>
        <v/>
      </c>
      <c r="W52" s="93" t="str">
        <f t="shared" si="11"/>
        <v/>
      </c>
      <c r="X52" s="94" t="str">
        <f>IF(W52="","",VLOOKUP(W52,'11. Lists'!$F$47:$G$51,2,FALSE))</f>
        <v/>
      </c>
      <c r="Y52" s="376"/>
      <c r="Z52" s="347"/>
      <c r="AA52" s="515"/>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90" t="str">
        <v>1</v>
      </c>
      <c r="AJ52" s="161"/>
      <c r="AK52" s="161"/>
      <c r="AL52" s="161"/>
      <c r="AM52" s="161"/>
      <c r="AN52" s="161"/>
    </row>
    <row r="53" spans="1:73" s="25" customFormat="1" ht="15.75" x14ac:dyDescent="0.25">
      <c r="B53" s="268">
        <v>15</v>
      </c>
      <c r="C53" s="140" t="s">
        <v>261</v>
      </c>
      <c r="D53" s="73"/>
      <c r="E53" s="105" t="str">
        <f>IF(D53="","",VLOOKUP(D53,'10. Condition and Temporal'!$B$6:$D$103,3,FALSE))</f>
        <v/>
      </c>
      <c r="F53" s="701"/>
      <c r="G53" s="702"/>
      <c r="H53" s="71"/>
      <c r="I53" s="710"/>
      <c r="J53" s="711"/>
      <c r="K53" s="711"/>
      <c r="L53" s="941" t="str">
        <f t="shared" si="9"/>
        <v/>
      </c>
      <c r="M53" s="942"/>
      <c r="N53" s="943"/>
      <c r="O53" s="74"/>
      <c r="P53" s="12"/>
      <c r="R53" s="646"/>
      <c r="T53" s="655" t="str">
        <f>IF(D53="","",VLOOKUP(D53,'9. All Habitats + Multipliers'!$C$4:$K$102,5,FALSE))</f>
        <v/>
      </c>
      <c r="U53" s="656"/>
      <c r="V53" s="94" t="str">
        <f>IF(T53="","",VLOOKUP(T53,'11. Lists'!$B$47:$D$49,2,FALSE))</f>
        <v/>
      </c>
      <c r="W53" s="93" t="str">
        <f t="shared" si="11"/>
        <v/>
      </c>
      <c r="X53" s="94" t="str">
        <f>IF(W53="","",VLOOKUP(W53,'11. Lists'!$F$47:$G$51,2,FALSE))</f>
        <v/>
      </c>
      <c r="Y53" s="376"/>
      <c r="Z53" s="347"/>
      <c r="AA53" s="515"/>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90" t="str">
        <v>1</v>
      </c>
      <c r="AJ53" s="161"/>
      <c r="AK53" s="161"/>
      <c r="AL53" s="161"/>
      <c r="AM53" s="161"/>
      <c r="AN53" s="161"/>
    </row>
    <row r="54" spans="1:73" s="25" customFormat="1" ht="15.75" x14ac:dyDescent="0.25">
      <c r="B54" s="268">
        <v>16</v>
      </c>
      <c r="C54" s="140" t="s">
        <v>261</v>
      </c>
      <c r="D54" s="73"/>
      <c r="E54" s="105" t="str">
        <f>IF(D54="","",VLOOKUP(D54,'10. Condition and Temporal'!$B$6:$D$103,3,FALSE))</f>
        <v/>
      </c>
      <c r="F54" s="701"/>
      <c r="G54" s="702"/>
      <c r="H54" s="71"/>
      <c r="I54" s="710"/>
      <c r="J54" s="711"/>
      <c r="K54" s="711"/>
      <c r="L54" s="941" t="str">
        <f t="shared" si="9"/>
        <v/>
      </c>
      <c r="M54" s="942"/>
      <c r="N54" s="943"/>
      <c r="O54" s="74"/>
      <c r="P54" s="12"/>
      <c r="R54" s="646"/>
      <c r="T54" s="655" t="str">
        <f>IF(D54="","",VLOOKUP(D54,'9. All Habitats + Multipliers'!$C$4:$K$102,5,FALSE))</f>
        <v/>
      </c>
      <c r="U54" s="656"/>
      <c r="V54" s="94" t="str">
        <f>IF(T54="","",VLOOKUP(T54,'11. Lists'!$B$47:$D$49,2,FALSE))</f>
        <v/>
      </c>
      <c r="W54" s="93" t="str">
        <f t="shared" si="11"/>
        <v/>
      </c>
      <c r="X54" s="94" t="str">
        <f>IF(W54="","",VLOOKUP(W54,'11. Lists'!$F$47:$G$51,2,FALSE))</f>
        <v/>
      </c>
      <c r="Y54" s="376"/>
      <c r="Z54" s="347"/>
      <c r="AA54" s="515"/>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90" t="str">
        <v>1</v>
      </c>
      <c r="AJ54" s="161"/>
      <c r="AK54" s="161"/>
      <c r="AL54" s="161"/>
      <c r="AM54" s="161"/>
      <c r="AN54" s="161"/>
    </row>
    <row r="55" spans="1:73" s="25" customFormat="1" ht="15.75" x14ac:dyDescent="0.25">
      <c r="B55" s="268">
        <v>17</v>
      </c>
      <c r="C55" s="140" t="s">
        <v>261</v>
      </c>
      <c r="D55" s="73"/>
      <c r="E55" s="105" t="str">
        <f>IF(D55="","",VLOOKUP(D55,'10. Condition and Temporal'!$B$6:$D$103,3,FALSE))</f>
        <v/>
      </c>
      <c r="F55" s="701"/>
      <c r="G55" s="702"/>
      <c r="H55" s="71"/>
      <c r="I55" s="710"/>
      <c r="J55" s="711"/>
      <c r="K55" s="711"/>
      <c r="L55" s="941" t="str">
        <f t="shared" si="9"/>
        <v/>
      </c>
      <c r="M55" s="942"/>
      <c r="N55" s="943"/>
      <c r="O55" s="74"/>
      <c r="P55" s="12"/>
      <c r="R55" s="646"/>
      <c r="T55" s="655" t="str">
        <f>IF(D55="","",VLOOKUP(D55,'9. All Habitats + Multipliers'!$C$4:$K$102,5,FALSE))</f>
        <v/>
      </c>
      <c r="U55" s="656"/>
      <c r="V55" s="94" t="str">
        <f>IF(T55="","",VLOOKUP(T55,'11. Lists'!$B$47:$D$49,2,FALSE))</f>
        <v/>
      </c>
      <c r="W55" s="93" t="str">
        <f t="shared" si="11"/>
        <v/>
      </c>
      <c r="X55" s="94" t="str">
        <f>IF(W55="","",VLOOKUP(W55,'11. Lists'!$F$47:$G$51,2,FALSE))</f>
        <v/>
      </c>
      <c r="Y55" s="376"/>
      <c r="Z55" s="347"/>
      <c r="AA55" s="515"/>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90" t="str">
        <v>1</v>
      </c>
      <c r="AJ55" s="161"/>
      <c r="AK55" s="161"/>
      <c r="AL55" s="161"/>
      <c r="AM55" s="161"/>
      <c r="AN55" s="161"/>
    </row>
    <row r="56" spans="1:73" s="25" customFormat="1" ht="15.75" x14ac:dyDescent="0.25">
      <c r="B56" s="268">
        <v>18</v>
      </c>
      <c r="C56" s="140" t="s">
        <v>261</v>
      </c>
      <c r="D56" s="73"/>
      <c r="E56" s="105" t="str">
        <f>IF(D56="","",VLOOKUP(D56,'10. Condition and Temporal'!$B$6:$D$103,3,FALSE))</f>
        <v/>
      </c>
      <c r="F56" s="701"/>
      <c r="G56" s="702"/>
      <c r="H56" s="71"/>
      <c r="I56" s="710"/>
      <c r="J56" s="711"/>
      <c r="K56" s="711"/>
      <c r="L56" s="941" t="str">
        <f t="shared" si="9"/>
        <v/>
      </c>
      <c r="M56" s="942"/>
      <c r="N56" s="943"/>
      <c r="O56" s="74"/>
      <c r="P56" s="12"/>
      <c r="R56" s="646"/>
      <c r="T56" s="655" t="str">
        <f>IF(D56="","",VLOOKUP(D56,'9. All Habitats + Multipliers'!$C$4:$K$102,5,FALSE))</f>
        <v/>
      </c>
      <c r="U56" s="656"/>
      <c r="V56" s="94" t="str">
        <f>IF(T56="","",VLOOKUP(T56,'11. Lists'!$B$47:$D$49,2,FALSE))</f>
        <v/>
      </c>
      <c r="W56" s="93" t="str">
        <f t="shared" si="11"/>
        <v/>
      </c>
      <c r="X56" s="94" t="str">
        <f>IF(W56="","",VLOOKUP(W56,'11. Lists'!$F$47:$G$51,2,FALSE))</f>
        <v/>
      </c>
      <c r="Y56" s="376"/>
      <c r="Z56" s="347"/>
      <c r="AA56" s="515"/>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90" t="str">
        <v>1</v>
      </c>
      <c r="AJ56" s="161"/>
      <c r="AK56" s="161"/>
      <c r="AL56" s="161"/>
      <c r="AM56" s="161"/>
      <c r="AN56" s="161"/>
    </row>
    <row r="57" spans="1:73" s="25" customFormat="1" ht="15.75" x14ac:dyDescent="0.25">
      <c r="B57" s="268">
        <v>19</v>
      </c>
      <c r="C57" s="140" t="s">
        <v>261</v>
      </c>
      <c r="D57" s="73"/>
      <c r="E57" s="105" t="str">
        <f>IF(D57="","",VLOOKUP(D57,'10. Condition and Temporal'!$B$6:$D$103,3,FALSE))</f>
        <v/>
      </c>
      <c r="F57" s="701"/>
      <c r="G57" s="702"/>
      <c r="H57" s="71"/>
      <c r="I57" s="710"/>
      <c r="J57" s="711"/>
      <c r="K57" s="711"/>
      <c r="L57" s="941" t="str">
        <f t="shared" si="9"/>
        <v/>
      </c>
      <c r="M57" s="942"/>
      <c r="N57" s="943"/>
      <c r="O57" s="74"/>
      <c r="P57" s="12"/>
      <c r="R57" s="646"/>
      <c r="T57" s="655" t="str">
        <f>IF(D57="","",VLOOKUP(D57,'9. All Habitats + Multipliers'!$C$4:$K$102,5,FALSE))</f>
        <v/>
      </c>
      <c r="U57" s="656"/>
      <c r="V57" s="94" t="str">
        <f>IF(T57="","",VLOOKUP(T57,'11. Lists'!$B$47:$D$49,2,FALSE))</f>
        <v/>
      </c>
      <c r="W57" s="93" t="str">
        <f t="shared" si="11"/>
        <v/>
      </c>
      <c r="X57" s="94" t="str">
        <f>IF(W57="","",VLOOKUP(W57,'11. Lists'!$F$47:$G$51,2,FALSE))</f>
        <v/>
      </c>
      <c r="Y57" s="376"/>
      <c r="Z57" s="347"/>
      <c r="AA57" s="515"/>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90" t="str">
        <v>1</v>
      </c>
      <c r="AJ57" s="161"/>
      <c r="AK57" s="161"/>
      <c r="AL57" s="161"/>
      <c r="AM57" s="161"/>
      <c r="AN57" s="161"/>
    </row>
    <row r="58" spans="1:73" s="25" customFormat="1" ht="16.5" thickBot="1" x14ac:dyDescent="0.3">
      <c r="B58" s="269">
        <v>20</v>
      </c>
      <c r="C58" s="146" t="s">
        <v>261</v>
      </c>
      <c r="D58" s="136"/>
      <c r="E58" s="137" t="str">
        <f>IF(D58="","",VLOOKUP(D58,'10. Condition and Temporal'!$B$6:$D$103,3,FALSE))</f>
        <v/>
      </c>
      <c r="F58" s="955"/>
      <c r="G58" s="956"/>
      <c r="H58" s="138"/>
      <c r="I58" s="936"/>
      <c r="J58" s="937"/>
      <c r="K58" s="937"/>
      <c r="L58" s="938" t="str">
        <f t="shared" si="9"/>
        <v/>
      </c>
      <c r="M58" s="939"/>
      <c r="N58" s="940"/>
      <c r="O58" s="75"/>
      <c r="P58" s="14"/>
      <c r="R58" s="646"/>
      <c r="T58" s="657" t="str">
        <f>IF(D58="","",VLOOKUP(D58,'9. All Habitats + Multipliers'!$C$4:$K$102,5,FALSE))</f>
        <v/>
      </c>
      <c r="U58" s="658"/>
      <c r="V58" s="99" t="str">
        <f>IF(T58="","",VLOOKUP(T58,'11. Lists'!$B$47:$D$49,2,FALSE))</f>
        <v/>
      </c>
      <c r="W58" s="98" t="str">
        <f t="shared" si="11"/>
        <v/>
      </c>
      <c r="X58" s="99" t="str">
        <f>IF(W58="","",VLOOKUP(W58,'11. Lists'!$F$47:$G$51,2,FALSE))</f>
        <v/>
      </c>
      <c r="Y58" s="376"/>
      <c r="Z58" s="347"/>
      <c r="AA58" s="515"/>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1" t="str">
        <f>IF(AE58="","",VLOOKUP(AE58,'11. Lists'!$I$47:$K$80,3,FALSE))</f>
        <v/>
      </c>
      <c r="AG58" s="98" t="str">
        <f>IF(D58="","",VLOOKUP(D58,'9. All Habitats + Multipliers'!$C$4:$K$102,7,FALSE))</f>
        <v/>
      </c>
      <c r="AH58" s="99" t="str">
        <f>IF(AG58="","",VLOOKUP(AG58,'11. Lists'!$J$35:$K$38,2,FALSE))</f>
        <v/>
      </c>
      <c r="AI58" s="491" t="str">
        <v>1</v>
      </c>
      <c r="AJ58" s="161"/>
      <c r="AK58" s="161"/>
      <c r="AL58" s="161"/>
      <c r="AM58" s="161"/>
      <c r="AN58" s="161"/>
    </row>
    <row r="59" spans="1:73" s="25" customFormat="1" ht="15.75" thickBot="1" x14ac:dyDescent="0.3">
      <c r="H59" s="273" t="s">
        <v>236</v>
      </c>
      <c r="I59" s="810">
        <f>SUM(I39:K58)</f>
        <v>0</v>
      </c>
      <c r="J59" s="811"/>
      <c r="K59" s="812"/>
      <c r="L59" s="856">
        <f>SUM(L39:N58)</f>
        <v>0</v>
      </c>
      <c r="M59" s="920"/>
      <c r="N59" s="857"/>
      <c r="R59" s="646"/>
      <c r="AJ59" s="161"/>
      <c r="AK59" s="161"/>
      <c r="AL59" s="161"/>
      <c r="AM59" s="161"/>
      <c r="AN59" s="161"/>
    </row>
    <row r="60" spans="1:73" s="25" customFormat="1" x14ac:dyDescent="0.25">
      <c r="R60" s="646"/>
      <c r="AJ60" s="161"/>
      <c r="AK60" s="161"/>
      <c r="AL60" s="161"/>
      <c r="AM60" s="161"/>
      <c r="AN60" s="161"/>
    </row>
    <row r="61" spans="1:73" s="25" customFormat="1" x14ac:dyDescent="0.25">
      <c r="R61" s="646"/>
      <c r="AJ61" s="161"/>
      <c r="AK61" s="161"/>
      <c r="AL61" s="161"/>
      <c r="AM61" s="161"/>
      <c r="AN61" s="161"/>
      <c r="BA61" s="50" t="s">
        <v>126</v>
      </c>
    </row>
    <row r="62" spans="1:73" s="25" customFormat="1" ht="21" x14ac:dyDescent="0.35">
      <c r="B62" s="57" t="s">
        <v>127</v>
      </c>
      <c r="D62" s="88"/>
      <c r="H62" s="26"/>
      <c r="R62" s="646"/>
      <c r="AJ62" s="161"/>
      <c r="AK62" s="161"/>
      <c r="AL62" s="161"/>
      <c r="AM62" s="161"/>
      <c r="AN62" s="161"/>
      <c r="BA62" s="50" t="s">
        <v>128</v>
      </c>
    </row>
    <row r="63" spans="1:73" s="25" customFormat="1" ht="15.75" thickBot="1" x14ac:dyDescent="0.3">
      <c r="A63" s="871"/>
      <c r="R63" s="646"/>
      <c r="AJ63" s="161"/>
      <c r="AK63" s="161"/>
      <c r="AL63" s="161"/>
      <c r="AM63" s="161"/>
      <c r="AN63" s="161"/>
      <c r="BA63" s="921" t="s">
        <v>141</v>
      </c>
    </row>
    <row r="64" spans="1:73" s="25" customFormat="1" ht="16.149999999999999" customHeight="1" thickBot="1" x14ac:dyDescent="0.3">
      <c r="A64" s="871"/>
      <c r="B64" s="678" t="s">
        <v>129</v>
      </c>
      <c r="C64" s="674" t="s">
        <v>130</v>
      </c>
      <c r="D64" s="676"/>
      <c r="E64" s="717" t="s">
        <v>264</v>
      </c>
      <c r="F64" s="718"/>
      <c r="G64" s="719"/>
      <c r="H64" s="660" t="s">
        <v>132</v>
      </c>
      <c r="I64" s="660" t="s">
        <v>265</v>
      </c>
      <c r="J64" s="662" t="s">
        <v>134</v>
      </c>
      <c r="K64" s="662"/>
      <c r="L64" s="674" t="s">
        <v>135</v>
      </c>
      <c r="M64" s="675" t="s">
        <v>136</v>
      </c>
      <c r="N64" s="676"/>
      <c r="O64" s="741" t="s">
        <v>77</v>
      </c>
      <c r="P64" s="742"/>
      <c r="R64" s="646"/>
      <c r="T64" s="653" t="s">
        <v>137</v>
      </c>
      <c r="U64" s="654"/>
      <c r="V64" s="654"/>
      <c r="W64" s="654"/>
      <c r="X64" s="654"/>
      <c r="Y64" s="654"/>
      <c r="Z64" s="654"/>
      <c r="AA64" s="654"/>
      <c r="AB64" s="654"/>
      <c r="AC64" s="654"/>
      <c r="AD64" s="659"/>
      <c r="AE64" s="660" t="s">
        <v>138</v>
      </c>
      <c r="AF64" s="653" t="s">
        <v>139</v>
      </c>
      <c r="AG64" s="654"/>
      <c r="AH64" s="654"/>
      <c r="AI64" s="654"/>
      <c r="AJ64" s="654"/>
      <c r="AK64" s="654"/>
      <c r="AL64" s="654"/>
      <c r="AM64" s="654"/>
      <c r="AN64" s="654"/>
      <c r="AO64" s="654"/>
      <c r="AP64" s="659"/>
      <c r="AQ64" s="806" t="s">
        <v>140</v>
      </c>
      <c r="AR64" s="653" t="s">
        <v>139</v>
      </c>
      <c r="AS64" s="654"/>
      <c r="AT64" s="654"/>
      <c r="AU64" s="654"/>
      <c r="AV64" s="659"/>
      <c r="BA64" s="921"/>
      <c r="BB64" s="554">
        <f>COUNTIF(BB66:BB85,"?*")</f>
        <v>0</v>
      </c>
      <c r="BC64" s="189">
        <f t="shared" ref="BC64:BU64" si="12">COUNTIF(BC66:BC85,"?*")</f>
        <v>0</v>
      </c>
      <c r="BD64" s="189">
        <f t="shared" si="12"/>
        <v>0</v>
      </c>
      <c r="BE64" s="189">
        <f t="shared" si="12"/>
        <v>0</v>
      </c>
      <c r="BF64" s="189">
        <f t="shared" si="12"/>
        <v>0</v>
      </c>
      <c r="BG64" s="189">
        <f t="shared" si="12"/>
        <v>0</v>
      </c>
      <c r="BH64" s="189">
        <f t="shared" si="12"/>
        <v>0</v>
      </c>
      <c r="BI64" s="189">
        <f t="shared" si="12"/>
        <v>0</v>
      </c>
      <c r="BJ64" s="189">
        <f t="shared" si="12"/>
        <v>0</v>
      </c>
      <c r="BK64" s="189">
        <f t="shared" si="12"/>
        <v>0</v>
      </c>
      <c r="BL64" s="189">
        <f t="shared" si="12"/>
        <v>0</v>
      </c>
      <c r="BM64" s="189">
        <f t="shared" si="12"/>
        <v>0</v>
      </c>
      <c r="BN64" s="189">
        <f t="shared" si="12"/>
        <v>0</v>
      </c>
      <c r="BO64" s="189">
        <f t="shared" si="12"/>
        <v>0</v>
      </c>
      <c r="BP64" s="189">
        <f t="shared" si="12"/>
        <v>0</v>
      </c>
      <c r="BQ64" s="189">
        <f t="shared" si="12"/>
        <v>0</v>
      </c>
      <c r="BR64" s="189">
        <f t="shared" si="12"/>
        <v>0</v>
      </c>
      <c r="BS64" s="189">
        <f t="shared" si="12"/>
        <v>0</v>
      </c>
      <c r="BT64" s="189">
        <f t="shared" si="12"/>
        <v>0</v>
      </c>
      <c r="BU64" s="189">
        <f t="shared" si="12"/>
        <v>0</v>
      </c>
    </row>
    <row r="65" spans="1:76" s="25" customFormat="1" ht="45.6" customHeight="1" thickBot="1" x14ac:dyDescent="0.3">
      <c r="A65" s="871"/>
      <c r="B65" s="952"/>
      <c r="C65" s="433" t="s">
        <v>142</v>
      </c>
      <c r="D65" s="402" t="s">
        <v>143</v>
      </c>
      <c r="E65" s="400" t="s">
        <v>144</v>
      </c>
      <c r="F65" s="953" t="s">
        <v>145</v>
      </c>
      <c r="G65" s="954"/>
      <c r="H65" s="957"/>
      <c r="I65" s="957"/>
      <c r="J65" s="958"/>
      <c r="K65" s="958"/>
      <c r="L65" s="945"/>
      <c r="M65" s="946"/>
      <c r="N65" s="947"/>
      <c r="O65" s="403" t="s">
        <v>92</v>
      </c>
      <c r="P65" s="402" t="s">
        <v>93</v>
      </c>
      <c r="R65" s="646"/>
      <c r="T65" s="180" t="s">
        <v>146</v>
      </c>
      <c r="U65" s="112" t="s">
        <v>147</v>
      </c>
      <c r="V65" s="113" t="s">
        <v>148</v>
      </c>
      <c r="W65" s="372" t="s">
        <v>149</v>
      </c>
      <c r="X65" s="361" t="s">
        <v>150</v>
      </c>
      <c r="Y65" s="370"/>
      <c r="Z65" s="370"/>
      <c r="AA65" s="370"/>
      <c r="AB65" s="362" t="s">
        <v>151</v>
      </c>
      <c r="AC65" s="371" t="s">
        <v>152</v>
      </c>
      <c r="AD65" s="113" t="s">
        <v>153</v>
      </c>
      <c r="AE65" s="925"/>
      <c r="AF65" s="337" t="s">
        <v>146</v>
      </c>
      <c r="AG65" s="355" t="s">
        <v>94</v>
      </c>
      <c r="AH65" s="354" t="s">
        <v>95</v>
      </c>
      <c r="AI65" s="355" t="s">
        <v>96</v>
      </c>
      <c r="AJ65" s="475" t="s">
        <v>95</v>
      </c>
      <c r="AK65" s="476"/>
      <c r="AL65" s="476"/>
      <c r="AM65" s="476"/>
      <c r="AN65" s="475" t="s">
        <v>80</v>
      </c>
      <c r="AO65" s="357" t="s">
        <v>80</v>
      </c>
      <c r="AP65" s="354" t="s">
        <v>97</v>
      </c>
      <c r="AQ65" s="924"/>
      <c r="AR65" s="354" t="s">
        <v>154</v>
      </c>
      <c r="AS65" s="355" t="s">
        <v>155</v>
      </c>
      <c r="AT65" s="354" t="s">
        <v>156</v>
      </c>
      <c r="AU65" s="356" t="s">
        <v>157</v>
      </c>
      <c r="AV65" s="354" t="s">
        <v>158</v>
      </c>
      <c r="AW65" s="185" t="s">
        <v>159</v>
      </c>
      <c r="AX65" s="488" t="s">
        <v>160</v>
      </c>
      <c r="AY65" s="489" t="s">
        <v>266</v>
      </c>
      <c r="BA65" s="83" t="s">
        <v>162</v>
      </c>
      <c r="BB65" s="173">
        <v>1</v>
      </c>
      <c r="BC65" s="173">
        <v>2</v>
      </c>
      <c r="BD65" s="173">
        <v>3</v>
      </c>
      <c r="BE65" s="173">
        <v>4</v>
      </c>
      <c r="BF65" s="173">
        <v>5</v>
      </c>
      <c r="BG65" s="173">
        <v>6</v>
      </c>
      <c r="BH65" s="173">
        <v>7</v>
      </c>
      <c r="BI65" s="173">
        <v>8</v>
      </c>
      <c r="BJ65" s="173">
        <v>9</v>
      </c>
      <c r="BK65" s="173">
        <v>10</v>
      </c>
      <c r="BL65" s="173">
        <v>11</v>
      </c>
      <c r="BM65" s="173">
        <v>12</v>
      </c>
      <c r="BN65" s="173">
        <v>13</v>
      </c>
      <c r="BO65" s="173">
        <v>14</v>
      </c>
      <c r="BP65" s="173">
        <v>15</v>
      </c>
      <c r="BQ65" s="173">
        <v>16</v>
      </c>
      <c r="BR65" s="173">
        <v>17</v>
      </c>
      <c r="BS65" s="173">
        <v>18</v>
      </c>
      <c r="BT65" s="173">
        <v>19</v>
      </c>
      <c r="BU65" s="173">
        <v>20</v>
      </c>
      <c r="BV65" s="187" t="s">
        <v>163</v>
      </c>
      <c r="BW65" s="173" t="s">
        <v>164</v>
      </c>
      <c r="BX65" s="173" t="s">
        <v>165</v>
      </c>
    </row>
    <row r="66" spans="1:76" s="25" customFormat="1" ht="15.75" x14ac:dyDescent="0.25">
      <c r="B66" s="274">
        <v>1</v>
      </c>
      <c r="C66" s="423" t="str">
        <f t="shared" ref="C66:C85" si="13">IF(D66="","",C11)</f>
        <v/>
      </c>
      <c r="D66" s="424" t="str">
        <f>IF(OR(K11="", K11=0),"",D11)</f>
        <v/>
      </c>
      <c r="E66" s="425" t="str">
        <f t="shared" ref="E66:E85" si="14">IF(AX66="","",AX66)</f>
        <v/>
      </c>
      <c r="F66" s="875"/>
      <c r="G66" s="876"/>
      <c r="H66" s="426" t="str">
        <f t="shared" ref="H66:H85" si="15">IF(D66="","",AB66)</f>
        <v/>
      </c>
      <c r="I66" s="431" t="str">
        <f>IF(OR(K11="",K11=0),"",K11)</f>
        <v/>
      </c>
      <c r="J66" s="959" t="str">
        <f>IF(F66="","",VLOOKUP(F66,'10. Condition and Temporal'!$B$6:$F$103,5,FALSE))</f>
        <v/>
      </c>
      <c r="K66" s="960"/>
      <c r="L66" s="299" t="str">
        <f>IFERROR(IF(D66="","",IF(AX66="Distinctiveness",(((((I66*AH66*AJ66*AY66)-(I66*V66*X66))*(AV66*AT66))+(I66*V66*X66))*AP66)/1000,((((I66*AH66*AJ66*AY66)-(I66*V66*X66*AJ11))*(AV66*AR66))+(I66*V66*X66*AJ11))*AP66/1000)),"This intervention is not permitted within the SSM ▲")</f>
        <v/>
      </c>
      <c r="M66" s="892" t="str">
        <f>IFERROR(IF(F66="","",L66-AD66), "Error ▲")</f>
        <v/>
      </c>
      <c r="N66" s="893"/>
      <c r="O66" s="221"/>
      <c r="P66" s="145"/>
      <c r="R66" s="646"/>
      <c r="T66" s="181" t="str">
        <f t="shared" ref="T66:T85" si="16">IF(D66="","",K11)</f>
        <v/>
      </c>
      <c r="U66" s="115" t="str">
        <f>IF($D66="","",T11)</f>
        <v/>
      </c>
      <c r="V66" s="116" t="str">
        <f t="shared" ref="V66:X85" si="17">IF($D66="","",V11)</f>
        <v/>
      </c>
      <c r="W66" s="114" t="str">
        <f t="shared" si="17"/>
        <v/>
      </c>
      <c r="X66" s="93" t="str">
        <f t="shared" si="17"/>
        <v/>
      </c>
      <c r="Y66" s="347"/>
      <c r="Z66" s="347"/>
      <c r="AA66" s="347"/>
      <c r="AB66" s="94" t="str">
        <f t="shared" ref="AB66:AB85" si="18">IF($D66="","",AB11)</f>
        <v/>
      </c>
      <c r="AC66" s="118" t="str">
        <f t="shared" ref="AC66:AC85" si="19">IF($D66="","",AD11)</f>
        <v/>
      </c>
      <c r="AD66" s="116" t="str">
        <f>IF(AC66="","",((T66*V66*X66)*AC66*AJ11)/1000)</f>
        <v/>
      </c>
      <c r="AE66" s="183" t="str">
        <f>IF(AD66="","",IF(AH66&lt;V66,"Not Acceptable","Acceptable"))</f>
        <v/>
      </c>
      <c r="AF66" s="114" t="str">
        <f t="shared" ref="AF66:AF85" si="20">IF(D66="","",I66)</f>
        <v/>
      </c>
      <c r="AG66" s="115" t="str">
        <f>IF(D66="","",VLOOKUP(F66,'9. All Habitats + Multipliers'!$C$4:$K$102,5,FALSE))</f>
        <v/>
      </c>
      <c r="AH66" s="116" t="str">
        <f>IF(AG66="","",VLOOKUP(AG66,'11. Lists'!$B$47:$D$49,2,FALSE))</f>
        <v/>
      </c>
      <c r="AI66" s="115" t="str">
        <f t="shared" ref="AI66:AI85" si="21">IF(D66="","",J66)</f>
        <v/>
      </c>
      <c r="AJ66" s="485" t="str">
        <f>IF(AI66="","",VLOOKUP(AI66,'11. Lists'!$F$47:$G$51,2,FALSE))</f>
        <v/>
      </c>
      <c r="AK66" s="486"/>
      <c r="AL66" s="486"/>
      <c r="AM66" s="486"/>
      <c r="AN66" s="485" t="str">
        <f t="shared" ref="AN66:AN85" si="22">IF(H66="","",H66)</f>
        <v/>
      </c>
      <c r="AO66" s="117" t="str">
        <f>IF(AN66="","",VLOOKUP(AN66,'11. Lists'!$F$36:$H$38,2,FALSE))</f>
        <v/>
      </c>
      <c r="AP66" s="116" t="str">
        <f>IF(AN66="","",VLOOKUP(AN66,'11. Lists'!$F$36:$H$38,3,FALSE))</f>
        <v/>
      </c>
      <c r="AQ66" s="115" t="str">
        <f>IF(D66="","",IF(AX66="Distinctiveness","N/A",VLOOKUP(F66,'10. Condition and Temporal'!$B$6:$L$103,11,FALSE)))</f>
        <v/>
      </c>
      <c r="AR66" s="119" t="str">
        <f>IF(AQ66="","",IF(AQ66="N/A","1",VLOOKUP(AQ66,'11. Lists'!$I$47:$K$80,3,FALSE)))</f>
        <v/>
      </c>
      <c r="AS66" s="135" t="str">
        <f>IF(D66="","",IF(AX66="Condition","N/A",VLOOKUP(F66,'10. Condition and Temporal'!$B$6:$M$106,12,FALSE)))</f>
        <v/>
      </c>
      <c r="AT66" s="119" t="str">
        <f>IF(AS66="","",IF(AS66="N/A","1",VLOOKUP(AS66,'11. Lists'!$I$47:$K$80,3,FALSE)))</f>
        <v/>
      </c>
      <c r="AU66" s="118" t="str">
        <f>IF(D66="","",VLOOKUP(F66,'9. All Habitats + Multipliers'!$C$4:$K$102,8,FALSE))</f>
        <v/>
      </c>
      <c r="AV66" s="116" t="str">
        <f>IF(AU66="","",VLOOKUP(AU66,'11. Lists'!$J$35:$K$38,2,FALSE))</f>
        <v/>
      </c>
      <c r="AW66" s="115" t="str">
        <f>IF(D66="","",VLOOKUP(D66,'10. Condition and Temporal'!$B$6:$M$103,4,FALSE))</f>
        <v/>
      </c>
      <c r="AX66" s="467" t="str">
        <f t="shared" ref="AX66:AX85" si="23">IF(F66="","",IF(D66=F66,"Condition","Distinctiveness"))</f>
        <v/>
      </c>
      <c r="AY66" s="490" t="str" cm="1">
        <f t="array" ref="AY66:AZ85">IF($F$66:$G$85="Culvert","0.68","1")</f>
        <v>1</v>
      </c>
      <c r="AZ66" s="487"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8" t="str">
        <f>IF(BX66=0,"",CONCATENATE(BW66,"66:",BW66,BX66+65))</f>
        <v/>
      </c>
      <c r="BW66" s="95" t="s">
        <v>166</v>
      </c>
      <c r="BX66" s="95">
        <f>BB64</f>
        <v>0</v>
      </c>
    </row>
    <row r="67" spans="1:76" s="25" customFormat="1" ht="15.75" x14ac:dyDescent="0.25">
      <c r="B67" s="268">
        <v>2</v>
      </c>
      <c r="C67" s="120" t="str">
        <f t="shared" si="13"/>
        <v/>
      </c>
      <c r="D67" s="212" t="str">
        <f t="shared" ref="D67:D85" si="44">IF(OR(K12="", K12=0),"",D12)</f>
        <v/>
      </c>
      <c r="E67" s="170" t="str">
        <f t="shared" si="14"/>
        <v/>
      </c>
      <c r="F67" s="664"/>
      <c r="G67" s="665"/>
      <c r="H67" s="167" t="str">
        <f t="shared" si="15"/>
        <v/>
      </c>
      <c r="I67" s="321" t="str">
        <f t="shared" ref="I67:I85" si="45">IF(OR(K12="",K12=0),"",K12)</f>
        <v/>
      </c>
      <c r="J67" s="948" t="str">
        <f>IF(F67="","",VLOOKUP(F67,'10. Condition and Temporal'!$B$6:$F$103,5,FALSE))</f>
        <v/>
      </c>
      <c r="K67" s="949"/>
      <c r="L67" s="298" t="str">
        <f t="shared" ref="L67:L85" si="46">IFERROR(IF(D67="","",IF(AX67="Distinctiveness",(((((I67*AH67*AJ67*AY67)-(I67*V67*X67))*(AV67*AT67))+(I67*V67*X67))*AP67)/1000,((((I67*AH67*AJ67*AY67)-(I67*V67*X67*AJ12))*(AV67*AR67))+(I67*V67*X67*AJ12))*AP67/1000)),"This intervention is not permitted within the SSM ▲")</f>
        <v/>
      </c>
      <c r="M67" s="942" t="str">
        <f t="shared" ref="M67:M85" si="47">IFERROR(IF(F67="","",L67-AD67), "Error ▲")</f>
        <v/>
      </c>
      <c r="N67" s="943"/>
      <c r="O67" s="74"/>
      <c r="P67" s="12"/>
      <c r="R67" s="646"/>
      <c r="T67" s="181" t="str">
        <f t="shared" si="16"/>
        <v/>
      </c>
      <c r="U67" s="115" t="str">
        <f t="shared" ref="U67:U85" si="48">IF($D67="","",T12)</f>
        <v/>
      </c>
      <c r="V67" s="116" t="str">
        <f t="shared" si="17"/>
        <v/>
      </c>
      <c r="W67" s="114" t="str">
        <f t="shared" si="17"/>
        <v/>
      </c>
      <c r="X67" s="93" t="str">
        <f t="shared" si="17"/>
        <v/>
      </c>
      <c r="Y67" s="347"/>
      <c r="Z67" s="347"/>
      <c r="AA67" s="347"/>
      <c r="AB67" s="94" t="str">
        <f t="shared" si="18"/>
        <v/>
      </c>
      <c r="AC67" s="118" t="str">
        <f t="shared" si="19"/>
        <v/>
      </c>
      <c r="AD67" s="116" t="str">
        <f t="shared" ref="AD67:AD85" si="49">IF(AC67="","",((T67*V67*X67)*AC67*AJ12)/1000)</f>
        <v/>
      </c>
      <c r="AE67" s="183" t="str">
        <f t="shared" ref="AE67:AE85" si="50">IF(AD67="","",IF(AH67&lt;V67,"Not Acceptable","Acceptable"))</f>
        <v/>
      </c>
      <c r="AF67" s="114" t="str">
        <f t="shared" si="20"/>
        <v/>
      </c>
      <c r="AG67" s="115" t="str">
        <f>IF(D67="","",VLOOKUP(F67,'9. All Habitats + Multipliers'!$C$4:$K$102,5,FALSE))</f>
        <v/>
      </c>
      <c r="AH67" s="116" t="str">
        <f>IF(AG67="","",VLOOKUP(AG67,'11. Lists'!$B$47:$D$49,2,FALSE))</f>
        <v/>
      </c>
      <c r="AI67" s="115" t="str">
        <f t="shared" si="21"/>
        <v/>
      </c>
      <c r="AJ67" s="485" t="str">
        <f>IF(AI67="","",VLOOKUP(AI67,'11. Lists'!$F$47:$G$51,2,FALSE))</f>
        <v/>
      </c>
      <c r="AK67" s="486"/>
      <c r="AL67" s="486"/>
      <c r="AM67" s="486"/>
      <c r="AN67" s="485" t="str">
        <f t="shared" si="22"/>
        <v/>
      </c>
      <c r="AO67" s="117" t="str">
        <f>IF(AN67="","",VLOOKUP(AN67,'11. Lists'!$F$36:$H$38,2,FALSE))</f>
        <v/>
      </c>
      <c r="AP67" s="116" t="str">
        <f>IF(AN67="","",VLOOKUP(AN67,'11. Lists'!$F$36:$H$38,3,FALSE))</f>
        <v/>
      </c>
      <c r="AQ67" s="115" t="str">
        <f>IF(D67="","",IF(AX67="Distinctiveness","N/A",VLOOKUP(F67,'10. Condition and Temporal'!$B$6:$L$103,11,FALSE)))</f>
        <v/>
      </c>
      <c r="AR67" s="119" t="str">
        <f>IF(AQ67="","",IF(AQ67="N/A","1",VLOOKUP(AQ67,'11. Lists'!$I$47:$K$80,3,FALSE)))</f>
        <v/>
      </c>
      <c r="AS67" s="135" t="str">
        <f>IF(D67="","",IF(AX67="Condition","N/A",VLOOKUP(F67,'10. Condition and Temporal'!$B$6:$M$106,12,FALSE)))</f>
        <v/>
      </c>
      <c r="AT67" s="119" t="str">
        <f>IF(AS67="","",IF(AS67="N/A","1",VLOOKUP(AS67,'11. Lists'!$I$47:$K$80,3,FALSE)))</f>
        <v/>
      </c>
      <c r="AU67" s="118" t="str">
        <f>IF(D67="","",VLOOKUP(F67,'9. All Habitats + Multipliers'!$C$4:$K$102,8,FALSE))</f>
        <v/>
      </c>
      <c r="AV67" s="116" t="str">
        <f>IF(AU67="","",VLOOKUP(AU67,'11. Lists'!$J$35:$K$38,2,FALSE))</f>
        <v/>
      </c>
      <c r="AW67" s="115" t="str">
        <f>IF(D67="","",VLOOKUP(D67,'10. Condition and Temporal'!$B$6:$M$103,4,FALSE))</f>
        <v/>
      </c>
      <c r="AX67" s="467" t="str">
        <f t="shared" si="23"/>
        <v/>
      </c>
      <c r="AY67" s="490" t="str">
        <v>1</v>
      </c>
      <c r="AZ67" s="487"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8" t="str">
        <f t="shared" ref="BV67:BV85" si="51">IF(BX67=0,"",CONCATENATE(BW67,"66:",BW67,BX67+65))</f>
        <v/>
      </c>
      <c r="BW67" s="95" t="s">
        <v>167</v>
      </c>
      <c r="BX67" s="95">
        <f>BC64</f>
        <v>0</v>
      </c>
    </row>
    <row r="68" spans="1:76" s="25" customFormat="1" ht="15.75" x14ac:dyDescent="0.25">
      <c r="B68" s="268">
        <v>3</v>
      </c>
      <c r="C68" s="120" t="str">
        <f t="shared" si="13"/>
        <v/>
      </c>
      <c r="D68" s="212" t="str">
        <f t="shared" si="44"/>
        <v/>
      </c>
      <c r="E68" s="170" t="str">
        <f t="shared" si="14"/>
        <v/>
      </c>
      <c r="F68" s="664"/>
      <c r="G68" s="665"/>
      <c r="H68" s="167" t="str">
        <f t="shared" si="15"/>
        <v/>
      </c>
      <c r="I68" s="321" t="str">
        <f t="shared" si="45"/>
        <v/>
      </c>
      <c r="J68" s="948" t="str">
        <f>IF(F68="","",VLOOKUP(F68,'10. Condition and Temporal'!$B$6:$F$103,5,FALSE))</f>
        <v/>
      </c>
      <c r="K68" s="949"/>
      <c r="L68" s="298" t="str">
        <f t="shared" si="46"/>
        <v/>
      </c>
      <c r="M68" s="942" t="str">
        <f t="shared" si="47"/>
        <v/>
      </c>
      <c r="N68" s="943"/>
      <c r="O68" s="74"/>
      <c r="P68" s="12"/>
      <c r="R68" s="646"/>
      <c r="T68" s="181" t="str">
        <f t="shared" si="16"/>
        <v/>
      </c>
      <c r="U68" s="115" t="str">
        <f t="shared" si="48"/>
        <v/>
      </c>
      <c r="V68" s="116" t="str">
        <f t="shared" si="17"/>
        <v/>
      </c>
      <c r="W68" s="114" t="str">
        <f t="shared" si="17"/>
        <v/>
      </c>
      <c r="X68" s="93" t="str">
        <f t="shared" si="17"/>
        <v/>
      </c>
      <c r="Y68" s="347"/>
      <c r="Z68" s="347"/>
      <c r="AA68" s="347"/>
      <c r="AB68" s="94" t="str">
        <f t="shared" si="18"/>
        <v/>
      </c>
      <c r="AC68" s="118" t="str">
        <f t="shared" si="19"/>
        <v/>
      </c>
      <c r="AD68" s="116" t="str">
        <f t="shared" si="49"/>
        <v/>
      </c>
      <c r="AE68" s="183" t="str">
        <f t="shared" si="50"/>
        <v/>
      </c>
      <c r="AF68" s="114" t="str">
        <f t="shared" si="20"/>
        <v/>
      </c>
      <c r="AG68" s="115" t="str">
        <f>IF(D68="","",VLOOKUP(F68,'9. All Habitats + Multipliers'!$C$4:$K$102,5,FALSE))</f>
        <v/>
      </c>
      <c r="AH68" s="116" t="str">
        <f>IF(AG68="","",VLOOKUP(AG68,'11. Lists'!$B$47:$D$49,2,FALSE))</f>
        <v/>
      </c>
      <c r="AI68" s="115" t="str">
        <f t="shared" si="21"/>
        <v/>
      </c>
      <c r="AJ68" s="485" t="str">
        <f>IF(AI68="","",VLOOKUP(AI68,'11. Lists'!$F$47:$G$51,2,FALSE))</f>
        <v/>
      </c>
      <c r="AK68" s="486"/>
      <c r="AL68" s="486"/>
      <c r="AM68" s="486"/>
      <c r="AN68" s="485" t="str">
        <f t="shared" si="22"/>
        <v/>
      </c>
      <c r="AO68" s="117" t="str">
        <f>IF(AN68="","",VLOOKUP(AN68,'11. Lists'!$F$36:$H$38,2,FALSE))</f>
        <v/>
      </c>
      <c r="AP68" s="116" t="str">
        <f>IF(AN68="","",VLOOKUP(AN68,'11. Lists'!$F$36:$H$38,3,FALSE))</f>
        <v/>
      </c>
      <c r="AQ68" s="115" t="str">
        <f>IF(D68="","",IF(AX68="Distinctiveness","N/A",VLOOKUP(F68,'10. Condition and Temporal'!$B$6:$L$103,11,FALSE)))</f>
        <v/>
      </c>
      <c r="AR68" s="119" t="str">
        <f>IF(AQ68="","",IF(AQ68="N/A","1",VLOOKUP(AQ68,'11. Lists'!$I$47:$K$80,3,FALSE)))</f>
        <v/>
      </c>
      <c r="AS68" s="135" t="str">
        <f>IF(D68="","",IF(AX68="Condition","N/A",VLOOKUP(F68,'10. Condition and Temporal'!$B$6:$M$106,12,FALSE)))</f>
        <v/>
      </c>
      <c r="AT68" s="119" t="str">
        <f>IF(AS68="","",IF(AS68="N/A","1",VLOOKUP(AS68,'11. Lists'!$I$47:$K$80,3,FALSE)))</f>
        <v/>
      </c>
      <c r="AU68" s="118" t="str">
        <f>IF(D68="","",VLOOKUP(F68,'9. All Habitats + Multipliers'!$C$4:$K$102,8,FALSE))</f>
        <v/>
      </c>
      <c r="AV68" s="116" t="str">
        <f>IF(AU68="","",VLOOKUP(AU68,'11. Lists'!$J$35:$K$38,2,FALSE))</f>
        <v/>
      </c>
      <c r="AW68" s="115" t="str">
        <f>IF(D68="","",VLOOKUP(D68,'10. Condition and Temporal'!$B$6:$M$103,4,FALSE))</f>
        <v/>
      </c>
      <c r="AX68" s="467" t="str">
        <f t="shared" si="23"/>
        <v/>
      </c>
      <c r="AY68" s="490" t="str">
        <v>1</v>
      </c>
      <c r="AZ68" s="487"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8" t="str">
        <f t="shared" si="51"/>
        <v/>
      </c>
      <c r="BW68" s="95" t="s">
        <v>168</v>
      </c>
      <c r="BX68" s="95">
        <f>BD64</f>
        <v>0</v>
      </c>
    </row>
    <row r="69" spans="1:76" s="25" customFormat="1" ht="15.75" x14ac:dyDescent="0.25">
      <c r="B69" s="268">
        <v>4</v>
      </c>
      <c r="C69" s="120" t="str">
        <f t="shared" si="13"/>
        <v/>
      </c>
      <c r="D69" s="212" t="str">
        <f t="shared" si="44"/>
        <v/>
      </c>
      <c r="E69" s="170" t="str">
        <f t="shared" si="14"/>
        <v/>
      </c>
      <c r="F69" s="664"/>
      <c r="G69" s="665"/>
      <c r="H69" s="167" t="str">
        <f t="shared" si="15"/>
        <v/>
      </c>
      <c r="I69" s="321" t="str">
        <f t="shared" si="45"/>
        <v/>
      </c>
      <c r="J69" s="948" t="str">
        <f>IF(F69="","",VLOOKUP(F69,'10. Condition and Temporal'!$B$6:$F$103,5,FALSE))</f>
        <v/>
      </c>
      <c r="K69" s="949"/>
      <c r="L69" s="298" t="str">
        <f t="shared" si="46"/>
        <v/>
      </c>
      <c r="M69" s="942" t="str">
        <f t="shared" si="47"/>
        <v/>
      </c>
      <c r="N69" s="943"/>
      <c r="O69" s="74"/>
      <c r="P69" s="12"/>
      <c r="R69" s="646"/>
      <c r="T69" s="181" t="str">
        <f t="shared" si="16"/>
        <v/>
      </c>
      <c r="U69" s="115" t="str">
        <f t="shared" si="48"/>
        <v/>
      </c>
      <c r="V69" s="116" t="str">
        <f t="shared" si="17"/>
        <v/>
      </c>
      <c r="W69" s="114" t="str">
        <f t="shared" si="17"/>
        <v/>
      </c>
      <c r="X69" s="93" t="str">
        <f t="shared" si="17"/>
        <v/>
      </c>
      <c r="Y69" s="347"/>
      <c r="Z69" s="347"/>
      <c r="AA69" s="347"/>
      <c r="AB69" s="94" t="str">
        <f t="shared" si="18"/>
        <v/>
      </c>
      <c r="AC69" s="118" t="str">
        <f t="shared" si="19"/>
        <v/>
      </c>
      <c r="AD69" s="116" t="str">
        <f t="shared" si="49"/>
        <v/>
      </c>
      <c r="AE69" s="183" t="str">
        <f t="shared" si="50"/>
        <v/>
      </c>
      <c r="AF69" s="114" t="str">
        <f t="shared" si="20"/>
        <v/>
      </c>
      <c r="AG69" s="115" t="str">
        <f>IF(D69="","",VLOOKUP(F69,'9. All Habitats + Multipliers'!$C$4:$K$102,5,FALSE))</f>
        <v/>
      </c>
      <c r="AH69" s="116" t="str">
        <f>IF(AG69="","",VLOOKUP(AG69,'11. Lists'!$B$47:$D$49,2,FALSE))</f>
        <v/>
      </c>
      <c r="AI69" s="115" t="str">
        <f t="shared" si="21"/>
        <v/>
      </c>
      <c r="AJ69" s="485" t="str">
        <f>IF(AI69="","",VLOOKUP(AI69,'11. Lists'!$F$47:$G$51,2,FALSE))</f>
        <v/>
      </c>
      <c r="AK69" s="486"/>
      <c r="AL69" s="486"/>
      <c r="AM69" s="486"/>
      <c r="AN69" s="485" t="str">
        <f t="shared" si="22"/>
        <v/>
      </c>
      <c r="AO69" s="117" t="str">
        <f>IF(AN69="","",VLOOKUP(AN69,'11. Lists'!$F$36:$H$38,2,FALSE))</f>
        <v/>
      </c>
      <c r="AP69" s="116" t="str">
        <f>IF(AN69="","",VLOOKUP(AN69,'11. Lists'!$F$36:$H$38,3,FALSE))</f>
        <v/>
      </c>
      <c r="AQ69" s="115" t="str">
        <f>IF(D69="","",IF(AX69="Distinctiveness","N/A",VLOOKUP(F69,'10. Condition and Temporal'!$B$6:$L$103,11,FALSE)))</f>
        <v/>
      </c>
      <c r="AR69" s="119" t="str">
        <f>IF(AQ69="","",IF(AQ69="N/A","1",VLOOKUP(AQ69,'11. Lists'!$I$47:$K$80,3,FALSE)))</f>
        <v/>
      </c>
      <c r="AS69" s="135" t="str">
        <f>IF(D69="","",IF(AX69="Condition","N/A",VLOOKUP(F69,'10. Condition and Temporal'!$B$6:$M$106,12,FALSE)))</f>
        <v/>
      </c>
      <c r="AT69" s="119" t="str">
        <f>IF(AS69="","",IF(AS69="N/A","1",VLOOKUP(AS69,'11. Lists'!$I$47:$K$80,3,FALSE)))</f>
        <v/>
      </c>
      <c r="AU69" s="118" t="str">
        <f>IF(D69="","",VLOOKUP(F69,'9. All Habitats + Multipliers'!$C$4:$K$102,8,FALSE))</f>
        <v/>
      </c>
      <c r="AV69" s="116" t="str">
        <f>IF(AU69="","",VLOOKUP(AU69,'11. Lists'!$J$35:$K$38,2,FALSE))</f>
        <v/>
      </c>
      <c r="AW69" s="115" t="str">
        <f>IF(D69="","",VLOOKUP(D69,'10. Condition and Temporal'!$B$6:$M$103,4,FALSE))</f>
        <v/>
      </c>
      <c r="AX69" s="467" t="str">
        <f t="shared" si="23"/>
        <v/>
      </c>
      <c r="AY69" s="490" t="str">
        <v>1</v>
      </c>
      <c r="AZ69" s="487"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8" t="str">
        <f t="shared" si="51"/>
        <v/>
      </c>
      <c r="BW69" s="95" t="s">
        <v>169</v>
      </c>
      <c r="BX69" s="95">
        <f>BE64</f>
        <v>0</v>
      </c>
    </row>
    <row r="70" spans="1:76" s="25" customFormat="1" ht="15.75" customHeight="1" x14ac:dyDescent="0.25">
      <c r="B70" s="268">
        <v>5</v>
      </c>
      <c r="C70" s="120" t="str">
        <f t="shared" si="13"/>
        <v/>
      </c>
      <c r="D70" s="212" t="str">
        <f t="shared" si="44"/>
        <v/>
      </c>
      <c r="E70" s="170" t="str">
        <f t="shared" si="14"/>
        <v/>
      </c>
      <c r="F70" s="664"/>
      <c r="G70" s="665"/>
      <c r="H70" s="167" t="str">
        <f t="shared" si="15"/>
        <v/>
      </c>
      <c r="I70" s="321" t="str">
        <f t="shared" si="45"/>
        <v/>
      </c>
      <c r="J70" s="948" t="str">
        <f>IF(F70="","",VLOOKUP(F70,'10. Condition and Temporal'!$B$6:$F$103,5,FALSE))</f>
        <v/>
      </c>
      <c r="K70" s="949"/>
      <c r="L70" s="298" t="str">
        <f t="shared" si="46"/>
        <v/>
      </c>
      <c r="M70" s="942" t="str">
        <f t="shared" si="47"/>
        <v/>
      </c>
      <c r="N70" s="943"/>
      <c r="O70" s="74"/>
      <c r="P70" s="12"/>
      <c r="R70" s="646"/>
      <c r="T70" s="181" t="str">
        <f t="shared" si="16"/>
        <v/>
      </c>
      <c r="U70" s="115" t="str">
        <f t="shared" si="48"/>
        <v/>
      </c>
      <c r="V70" s="116" t="str">
        <f t="shared" si="17"/>
        <v/>
      </c>
      <c r="W70" s="114" t="str">
        <f t="shared" si="17"/>
        <v/>
      </c>
      <c r="X70" s="93" t="str">
        <f t="shared" si="17"/>
        <v/>
      </c>
      <c r="Y70" s="347"/>
      <c r="Z70" s="347"/>
      <c r="AA70" s="347"/>
      <c r="AB70" s="94" t="str">
        <f t="shared" si="18"/>
        <v/>
      </c>
      <c r="AC70" s="118" t="str">
        <f t="shared" si="19"/>
        <v/>
      </c>
      <c r="AD70" s="116" t="str">
        <f t="shared" si="49"/>
        <v/>
      </c>
      <c r="AE70" s="183" t="str">
        <f t="shared" si="50"/>
        <v/>
      </c>
      <c r="AF70" s="114" t="str">
        <f t="shared" si="20"/>
        <v/>
      </c>
      <c r="AG70" s="115" t="str">
        <f>IF(D70="","",VLOOKUP(F70,'9. All Habitats + Multipliers'!$C$4:$K$102,5,FALSE))</f>
        <v/>
      </c>
      <c r="AH70" s="116" t="str">
        <f>IF(AG70="","",VLOOKUP(AG70,'11. Lists'!$B$47:$D$49,2,FALSE))</f>
        <v/>
      </c>
      <c r="AI70" s="115" t="str">
        <f t="shared" si="21"/>
        <v/>
      </c>
      <c r="AJ70" s="485" t="str">
        <f>IF(AI70="","",VLOOKUP(AI70,'11. Lists'!$F$47:$G$51,2,FALSE))</f>
        <v/>
      </c>
      <c r="AK70" s="486"/>
      <c r="AL70" s="486"/>
      <c r="AM70" s="486"/>
      <c r="AN70" s="485" t="str">
        <f t="shared" si="22"/>
        <v/>
      </c>
      <c r="AO70" s="117" t="str">
        <f>IF(AN70="","",VLOOKUP(AN70,'11. Lists'!$F$36:$H$38,2,FALSE))</f>
        <v/>
      </c>
      <c r="AP70" s="116" t="str">
        <f>IF(AN70="","",VLOOKUP(AN70,'11. Lists'!$F$36:$H$38,3,FALSE))</f>
        <v/>
      </c>
      <c r="AQ70" s="115" t="str">
        <f>IF(D70="","",IF(AX70="Distinctiveness","N/A",VLOOKUP(F70,'10. Condition and Temporal'!$B$6:$L$103,11,FALSE)))</f>
        <v/>
      </c>
      <c r="AR70" s="119" t="str">
        <f>IF(AQ70="","",IF(AQ70="N/A","1",VLOOKUP(AQ70,'11. Lists'!$I$47:$K$80,3,FALSE)))</f>
        <v/>
      </c>
      <c r="AS70" s="135" t="str">
        <f>IF(D70="","",IF(AX70="Condition","N/A",VLOOKUP(F70,'10. Condition and Temporal'!$B$6:$M$106,12,FALSE)))</f>
        <v/>
      </c>
      <c r="AT70" s="119" t="str">
        <f>IF(AS70="","",IF(AS70="N/A","1",VLOOKUP(AS70,'11. Lists'!$I$47:$K$80,3,FALSE)))</f>
        <v/>
      </c>
      <c r="AU70" s="118" t="str">
        <f>IF(D70="","",VLOOKUP(F70,'9. All Habitats + Multipliers'!$C$4:$K$102,8,FALSE))</f>
        <v/>
      </c>
      <c r="AV70" s="116" t="str">
        <f>IF(AU70="","",VLOOKUP(AU70,'11. Lists'!$J$35:$K$38,2,FALSE))</f>
        <v/>
      </c>
      <c r="AW70" s="115" t="str">
        <f>IF(D70="","",VLOOKUP(D70,'10. Condition and Temporal'!$B$6:$M$103,4,FALSE))</f>
        <v/>
      </c>
      <c r="AX70" s="467" t="str">
        <f t="shared" si="23"/>
        <v/>
      </c>
      <c r="AY70" s="490" t="str">
        <v>1</v>
      </c>
      <c r="AZ70" s="487"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8" t="str">
        <f t="shared" si="51"/>
        <v/>
      </c>
      <c r="BW70" s="95" t="s">
        <v>170</v>
      </c>
      <c r="BX70" s="95">
        <f>BF64</f>
        <v>0</v>
      </c>
    </row>
    <row r="71" spans="1:76" s="25" customFormat="1" ht="15.75" customHeight="1" x14ac:dyDescent="0.25">
      <c r="B71" s="268">
        <v>6</v>
      </c>
      <c r="C71" s="120" t="str">
        <f t="shared" si="13"/>
        <v/>
      </c>
      <c r="D71" s="212" t="str">
        <f t="shared" si="44"/>
        <v/>
      </c>
      <c r="E71" s="170" t="str">
        <f t="shared" si="14"/>
        <v/>
      </c>
      <c r="F71" s="664"/>
      <c r="G71" s="665"/>
      <c r="H71" s="167" t="str">
        <f t="shared" si="15"/>
        <v/>
      </c>
      <c r="I71" s="321" t="str">
        <f t="shared" si="45"/>
        <v/>
      </c>
      <c r="J71" s="948" t="str">
        <f>IF(F71="","",VLOOKUP(F71,'10. Condition and Temporal'!$B$6:$F$103,5,FALSE))</f>
        <v/>
      </c>
      <c r="K71" s="949"/>
      <c r="L71" s="298" t="str">
        <f t="shared" si="46"/>
        <v/>
      </c>
      <c r="M71" s="942" t="str">
        <f t="shared" si="47"/>
        <v/>
      </c>
      <c r="N71" s="943"/>
      <c r="O71" s="74"/>
      <c r="P71" s="12"/>
      <c r="R71" s="646"/>
      <c r="T71" s="181" t="str">
        <f t="shared" si="16"/>
        <v/>
      </c>
      <c r="U71" s="115" t="str">
        <f t="shared" si="48"/>
        <v/>
      </c>
      <c r="V71" s="116" t="str">
        <f t="shared" si="17"/>
        <v/>
      </c>
      <c r="W71" s="114" t="str">
        <f t="shared" si="17"/>
        <v/>
      </c>
      <c r="X71" s="93" t="str">
        <f t="shared" si="17"/>
        <v/>
      </c>
      <c r="Y71" s="347"/>
      <c r="Z71" s="347"/>
      <c r="AA71" s="347"/>
      <c r="AB71" s="94" t="str">
        <f t="shared" si="18"/>
        <v/>
      </c>
      <c r="AC71" s="118" t="str">
        <f t="shared" si="19"/>
        <v/>
      </c>
      <c r="AD71" s="116" t="str">
        <f t="shared" si="49"/>
        <v/>
      </c>
      <c r="AE71" s="183" t="str">
        <f t="shared" si="50"/>
        <v/>
      </c>
      <c r="AF71" s="114" t="str">
        <f t="shared" si="20"/>
        <v/>
      </c>
      <c r="AG71" s="115" t="str">
        <f>IF(D71="","",VLOOKUP(F71,'9. All Habitats + Multipliers'!$C$4:$K$102,5,FALSE))</f>
        <v/>
      </c>
      <c r="AH71" s="116" t="str">
        <f>IF(AG71="","",VLOOKUP(AG71,'11. Lists'!$B$47:$D$49,2,FALSE))</f>
        <v/>
      </c>
      <c r="AI71" s="115" t="str">
        <f t="shared" si="21"/>
        <v/>
      </c>
      <c r="AJ71" s="485" t="str">
        <f>IF(AI71="","",VLOOKUP(AI71,'11. Lists'!$F$47:$G$51,2,FALSE))</f>
        <v/>
      </c>
      <c r="AK71" s="486"/>
      <c r="AL71" s="486"/>
      <c r="AM71" s="486"/>
      <c r="AN71" s="485" t="str">
        <f t="shared" si="22"/>
        <v/>
      </c>
      <c r="AO71" s="117" t="str">
        <f>IF(AN71="","",VLOOKUP(AN71,'11. Lists'!$F$36:$H$38,2,FALSE))</f>
        <v/>
      </c>
      <c r="AP71" s="116" t="str">
        <f>IF(AN71="","",VLOOKUP(AN71,'11. Lists'!$F$36:$H$38,3,FALSE))</f>
        <v/>
      </c>
      <c r="AQ71" s="115" t="str">
        <f>IF(D71="","",IF(AX71="Distinctiveness","N/A",VLOOKUP(F71,'10. Condition and Temporal'!$B$6:$L$103,11,FALSE)))</f>
        <v/>
      </c>
      <c r="AR71" s="119" t="str">
        <f>IF(AQ71="","",IF(AQ71="N/A","1",VLOOKUP(AQ71,'11. Lists'!$I$47:$K$80,3,FALSE)))</f>
        <v/>
      </c>
      <c r="AS71" s="135" t="str">
        <f>IF(D71="","",IF(AX71="Condition","N/A",VLOOKUP(F71,'10. Condition and Temporal'!$B$6:$M$106,12,FALSE)))</f>
        <v/>
      </c>
      <c r="AT71" s="119" t="str">
        <f>IF(AS71="","",IF(AS71="N/A","1",VLOOKUP(AS71,'11. Lists'!$I$47:$K$80,3,FALSE)))</f>
        <v/>
      </c>
      <c r="AU71" s="118" t="str">
        <f>IF(D71="","",VLOOKUP(F71,'9. All Habitats + Multipliers'!$C$4:$K$102,8,FALSE))</f>
        <v/>
      </c>
      <c r="AV71" s="116" t="str">
        <f>IF(AU71="","",VLOOKUP(AU71,'11. Lists'!$J$35:$K$38,2,FALSE))</f>
        <v/>
      </c>
      <c r="AW71" s="115" t="str">
        <f>IF(D71="","",VLOOKUP(D71,'10. Condition and Temporal'!$B$6:$M$103,4,FALSE))</f>
        <v/>
      </c>
      <c r="AX71" s="467" t="str">
        <f t="shared" si="23"/>
        <v/>
      </c>
      <c r="AY71" s="490" t="str">
        <v>1</v>
      </c>
      <c r="AZ71" s="487"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8" t="str">
        <f t="shared" si="51"/>
        <v/>
      </c>
      <c r="BW71" s="95" t="s">
        <v>171</v>
      </c>
      <c r="BX71" s="95">
        <f>BG64</f>
        <v>0</v>
      </c>
    </row>
    <row r="72" spans="1:76" s="25" customFormat="1" ht="15.75" customHeight="1" x14ac:dyDescent="0.25">
      <c r="B72" s="268">
        <v>7</v>
      </c>
      <c r="C72" s="120" t="str">
        <f t="shared" si="13"/>
        <v/>
      </c>
      <c r="D72" s="212" t="str">
        <f t="shared" si="44"/>
        <v/>
      </c>
      <c r="E72" s="170" t="str">
        <f t="shared" si="14"/>
        <v/>
      </c>
      <c r="F72" s="664"/>
      <c r="G72" s="665"/>
      <c r="H72" s="167" t="str">
        <f t="shared" si="15"/>
        <v/>
      </c>
      <c r="I72" s="321" t="str">
        <f t="shared" si="45"/>
        <v/>
      </c>
      <c r="J72" s="948" t="str">
        <f>IF(F72="","",VLOOKUP(F72,'10. Condition and Temporal'!$B$6:$F$103,5,FALSE))</f>
        <v/>
      </c>
      <c r="K72" s="949"/>
      <c r="L72" s="298" t="str">
        <f t="shared" si="46"/>
        <v/>
      </c>
      <c r="M72" s="942" t="str">
        <f t="shared" si="47"/>
        <v/>
      </c>
      <c r="N72" s="943"/>
      <c r="O72" s="74"/>
      <c r="P72" s="12"/>
      <c r="R72" s="646"/>
      <c r="T72" s="181" t="str">
        <f t="shared" si="16"/>
        <v/>
      </c>
      <c r="U72" s="115" t="str">
        <f t="shared" si="48"/>
        <v/>
      </c>
      <c r="V72" s="116" t="str">
        <f t="shared" si="17"/>
        <v/>
      </c>
      <c r="W72" s="114" t="str">
        <f t="shared" si="17"/>
        <v/>
      </c>
      <c r="X72" s="93" t="str">
        <f t="shared" si="17"/>
        <v/>
      </c>
      <c r="Y72" s="347"/>
      <c r="Z72" s="347"/>
      <c r="AA72" s="347"/>
      <c r="AB72" s="94" t="str">
        <f t="shared" si="18"/>
        <v/>
      </c>
      <c r="AC72" s="118" t="str">
        <f t="shared" si="19"/>
        <v/>
      </c>
      <c r="AD72" s="116" t="str">
        <f t="shared" si="49"/>
        <v/>
      </c>
      <c r="AE72" s="183" t="str">
        <f t="shared" si="50"/>
        <v/>
      </c>
      <c r="AF72" s="114" t="str">
        <f t="shared" si="20"/>
        <v/>
      </c>
      <c r="AG72" s="115" t="str">
        <f>IF(D72="","",VLOOKUP(F72,'9. All Habitats + Multipliers'!$C$4:$K$102,5,FALSE))</f>
        <v/>
      </c>
      <c r="AH72" s="116" t="str">
        <f>IF(AG72="","",VLOOKUP(AG72,'11. Lists'!$B$47:$D$49,2,FALSE))</f>
        <v/>
      </c>
      <c r="AI72" s="115" t="str">
        <f t="shared" si="21"/>
        <v/>
      </c>
      <c r="AJ72" s="485" t="str">
        <f>IF(AI72="","",VLOOKUP(AI72,'11. Lists'!$F$47:$G$51,2,FALSE))</f>
        <v/>
      </c>
      <c r="AK72" s="486"/>
      <c r="AL72" s="486"/>
      <c r="AM72" s="486"/>
      <c r="AN72" s="485" t="str">
        <f t="shared" si="22"/>
        <v/>
      </c>
      <c r="AO72" s="117" t="str">
        <f>IF(AN72="","",VLOOKUP(AN72,'11. Lists'!$F$36:$H$38,2,FALSE))</f>
        <v/>
      </c>
      <c r="AP72" s="116" t="str">
        <f>IF(AN72="","",VLOOKUP(AN72,'11. Lists'!$F$36:$H$38,3,FALSE))</f>
        <v/>
      </c>
      <c r="AQ72" s="115" t="str">
        <f>IF(D72="","",IF(AX72="Distinctiveness","N/A",VLOOKUP(F72,'10. Condition and Temporal'!$B$6:$L$103,11,FALSE)))</f>
        <v/>
      </c>
      <c r="AR72" s="119" t="str">
        <f>IF(AQ72="","",IF(AQ72="N/A","1",VLOOKUP(AQ72,'11. Lists'!$I$47:$K$80,3,FALSE)))</f>
        <v/>
      </c>
      <c r="AS72" s="135" t="str">
        <f>IF(D72="","",IF(AX72="Condition","N/A",VLOOKUP(F72,'10. Condition and Temporal'!$B$6:$M$106,12,FALSE)))</f>
        <v/>
      </c>
      <c r="AT72" s="119" t="str">
        <f>IF(AS72="","",IF(AS72="N/A","1",VLOOKUP(AS72,'11. Lists'!$I$47:$K$80,3,FALSE)))</f>
        <v/>
      </c>
      <c r="AU72" s="118" t="str">
        <f>IF(D72="","",VLOOKUP(F72,'9. All Habitats + Multipliers'!$C$4:$K$102,8,FALSE))</f>
        <v/>
      </c>
      <c r="AV72" s="116" t="str">
        <f>IF(AU72="","",VLOOKUP(AU72,'11. Lists'!$J$35:$K$38,2,FALSE))</f>
        <v/>
      </c>
      <c r="AW72" s="115" t="str">
        <f>IF(D72="","",VLOOKUP(D72,'10. Condition and Temporal'!$B$6:$M$103,4,FALSE))</f>
        <v/>
      </c>
      <c r="AX72" s="467" t="str">
        <f t="shared" si="23"/>
        <v/>
      </c>
      <c r="AY72" s="490" t="str">
        <v>1</v>
      </c>
      <c r="AZ72" s="487"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8" t="str">
        <f t="shared" si="51"/>
        <v/>
      </c>
      <c r="BW72" s="95" t="s">
        <v>172</v>
      </c>
      <c r="BX72" s="95">
        <f>BH64</f>
        <v>0</v>
      </c>
    </row>
    <row r="73" spans="1:76" s="25" customFormat="1" ht="15.75" x14ac:dyDescent="0.25">
      <c r="B73" s="268">
        <v>8</v>
      </c>
      <c r="C73" s="120" t="str">
        <f t="shared" si="13"/>
        <v/>
      </c>
      <c r="D73" s="212" t="str">
        <f t="shared" si="44"/>
        <v/>
      </c>
      <c r="E73" s="170" t="str">
        <f t="shared" si="14"/>
        <v/>
      </c>
      <c r="F73" s="664"/>
      <c r="G73" s="665"/>
      <c r="H73" s="167" t="str">
        <f t="shared" si="15"/>
        <v/>
      </c>
      <c r="I73" s="321" t="str">
        <f t="shared" si="45"/>
        <v/>
      </c>
      <c r="J73" s="948" t="str">
        <f>IF(F73="","",VLOOKUP(F73,'10. Condition and Temporal'!$B$6:$F$103,5,FALSE))</f>
        <v/>
      </c>
      <c r="K73" s="949"/>
      <c r="L73" s="298" t="str">
        <f t="shared" si="46"/>
        <v/>
      </c>
      <c r="M73" s="942" t="str">
        <f t="shared" si="47"/>
        <v/>
      </c>
      <c r="N73" s="943"/>
      <c r="O73" s="74"/>
      <c r="P73" s="12"/>
      <c r="R73" s="646"/>
      <c r="T73" s="181" t="str">
        <f t="shared" si="16"/>
        <v/>
      </c>
      <c r="U73" s="115" t="str">
        <f t="shared" si="48"/>
        <v/>
      </c>
      <c r="V73" s="116" t="str">
        <f t="shared" si="17"/>
        <v/>
      </c>
      <c r="W73" s="114" t="str">
        <f t="shared" si="17"/>
        <v/>
      </c>
      <c r="X73" s="93" t="str">
        <f t="shared" si="17"/>
        <v/>
      </c>
      <c r="Y73" s="347"/>
      <c r="Z73" s="347"/>
      <c r="AA73" s="347"/>
      <c r="AB73" s="94" t="str">
        <f t="shared" si="18"/>
        <v/>
      </c>
      <c r="AC73" s="118" t="str">
        <f t="shared" si="19"/>
        <v/>
      </c>
      <c r="AD73" s="116" t="str">
        <f t="shared" si="49"/>
        <v/>
      </c>
      <c r="AE73" s="183" t="str">
        <f t="shared" si="50"/>
        <v/>
      </c>
      <c r="AF73" s="114" t="str">
        <f t="shared" si="20"/>
        <v/>
      </c>
      <c r="AG73" s="115" t="str">
        <f>IF(D73="","",VLOOKUP(F73,'9. All Habitats + Multipliers'!$C$4:$K$102,5,FALSE))</f>
        <v/>
      </c>
      <c r="AH73" s="116" t="str">
        <f>IF(AG73="","",VLOOKUP(AG73,'11. Lists'!$B$47:$D$49,2,FALSE))</f>
        <v/>
      </c>
      <c r="AI73" s="115" t="str">
        <f t="shared" si="21"/>
        <v/>
      </c>
      <c r="AJ73" s="485" t="str">
        <f>IF(AI73="","",VLOOKUP(AI73,'11. Lists'!$F$47:$G$51,2,FALSE))</f>
        <v/>
      </c>
      <c r="AK73" s="486"/>
      <c r="AL73" s="486"/>
      <c r="AM73" s="486"/>
      <c r="AN73" s="485" t="str">
        <f t="shared" si="22"/>
        <v/>
      </c>
      <c r="AO73" s="117" t="str">
        <f>IF(AN73="","",VLOOKUP(AN73,'11. Lists'!$F$36:$H$38,2,FALSE))</f>
        <v/>
      </c>
      <c r="AP73" s="116" t="str">
        <f>IF(AN73="","",VLOOKUP(AN73,'11. Lists'!$F$36:$H$38,3,FALSE))</f>
        <v/>
      </c>
      <c r="AQ73" s="115" t="str">
        <f>IF(D73="","",IF(AX73="Distinctiveness","N/A",VLOOKUP(F73,'10. Condition and Temporal'!$B$6:$L$103,11,FALSE)))</f>
        <v/>
      </c>
      <c r="AR73" s="119" t="str">
        <f>IF(AQ73="","",IF(AQ73="N/A","1",VLOOKUP(AQ73,'11. Lists'!$I$47:$K$80,3,FALSE)))</f>
        <v/>
      </c>
      <c r="AS73" s="135" t="str">
        <f>IF(D73="","",IF(AX73="Condition","N/A",VLOOKUP(F73,'10. Condition and Temporal'!$B$6:$M$106,12,FALSE)))</f>
        <v/>
      </c>
      <c r="AT73" s="119" t="str">
        <f>IF(AS73="","",IF(AS73="N/A","1",VLOOKUP(AS73,'11. Lists'!$I$47:$K$80,3,FALSE)))</f>
        <v/>
      </c>
      <c r="AU73" s="118" t="str">
        <f>IF(D73="","",VLOOKUP(F73,'9. All Habitats + Multipliers'!$C$4:$K$102,8,FALSE))</f>
        <v/>
      </c>
      <c r="AV73" s="116" t="str">
        <f>IF(AU73="","",VLOOKUP(AU73,'11. Lists'!$J$35:$K$38,2,FALSE))</f>
        <v/>
      </c>
      <c r="AW73" s="115" t="str">
        <f>IF(D73="","",VLOOKUP(D73,'10. Condition and Temporal'!$B$6:$M$103,4,FALSE))</f>
        <v/>
      </c>
      <c r="AX73" s="467" t="str">
        <f t="shared" si="23"/>
        <v/>
      </c>
      <c r="AY73" s="490" t="str">
        <v>1</v>
      </c>
      <c r="AZ73" s="487"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8" t="str">
        <f t="shared" si="51"/>
        <v/>
      </c>
      <c r="BW73" s="95" t="s">
        <v>173</v>
      </c>
      <c r="BX73" s="95">
        <f>BI64</f>
        <v>0</v>
      </c>
    </row>
    <row r="74" spans="1:76" s="25" customFormat="1" ht="15.75" customHeight="1" x14ac:dyDescent="0.25">
      <c r="B74" s="268">
        <v>9</v>
      </c>
      <c r="C74" s="120" t="str">
        <f t="shared" si="13"/>
        <v/>
      </c>
      <c r="D74" s="212" t="str">
        <f t="shared" si="44"/>
        <v/>
      </c>
      <c r="E74" s="170" t="str">
        <f t="shared" si="14"/>
        <v/>
      </c>
      <c r="F74" s="664"/>
      <c r="G74" s="665"/>
      <c r="H74" s="167" t="str">
        <f t="shared" si="15"/>
        <v/>
      </c>
      <c r="I74" s="321" t="str">
        <f t="shared" si="45"/>
        <v/>
      </c>
      <c r="J74" s="948" t="str">
        <f>IF(F74="","",VLOOKUP(F74,'10. Condition and Temporal'!$B$6:$F$103,5,FALSE))</f>
        <v/>
      </c>
      <c r="K74" s="949"/>
      <c r="L74" s="298" t="str">
        <f t="shared" si="46"/>
        <v/>
      </c>
      <c r="M74" s="942" t="str">
        <f t="shared" si="47"/>
        <v/>
      </c>
      <c r="N74" s="943"/>
      <c r="O74" s="74"/>
      <c r="P74" s="12"/>
      <c r="R74" s="646"/>
      <c r="T74" s="181" t="str">
        <f t="shared" si="16"/>
        <v/>
      </c>
      <c r="U74" s="115" t="str">
        <f t="shared" si="48"/>
        <v/>
      </c>
      <c r="V74" s="116" t="str">
        <f t="shared" si="17"/>
        <v/>
      </c>
      <c r="W74" s="114" t="str">
        <f t="shared" si="17"/>
        <v/>
      </c>
      <c r="X74" s="93" t="str">
        <f t="shared" si="17"/>
        <v/>
      </c>
      <c r="Y74" s="347"/>
      <c r="Z74" s="347"/>
      <c r="AA74" s="347"/>
      <c r="AB74" s="94" t="str">
        <f t="shared" si="18"/>
        <v/>
      </c>
      <c r="AC74" s="118" t="str">
        <f t="shared" si="19"/>
        <v/>
      </c>
      <c r="AD74" s="116" t="str">
        <f t="shared" si="49"/>
        <v/>
      </c>
      <c r="AE74" s="183" t="str">
        <f t="shared" si="50"/>
        <v/>
      </c>
      <c r="AF74" s="114" t="str">
        <f t="shared" si="20"/>
        <v/>
      </c>
      <c r="AG74" s="115" t="str">
        <f>IF(D74="","",VLOOKUP(F74,'9. All Habitats + Multipliers'!$C$4:$K$102,5,FALSE))</f>
        <v/>
      </c>
      <c r="AH74" s="116" t="str">
        <f>IF(AG74="","",VLOOKUP(AG74,'11. Lists'!$B$47:$D$49,2,FALSE))</f>
        <v/>
      </c>
      <c r="AI74" s="115" t="str">
        <f t="shared" si="21"/>
        <v/>
      </c>
      <c r="AJ74" s="485" t="str">
        <f>IF(AI74="","",VLOOKUP(AI74,'11. Lists'!$F$47:$G$51,2,FALSE))</f>
        <v/>
      </c>
      <c r="AK74" s="486"/>
      <c r="AL74" s="486"/>
      <c r="AM74" s="486"/>
      <c r="AN74" s="485" t="str">
        <f t="shared" si="22"/>
        <v/>
      </c>
      <c r="AO74" s="117" t="str">
        <f>IF(AN74="","",VLOOKUP(AN74,'11. Lists'!$F$36:$H$38,2,FALSE))</f>
        <v/>
      </c>
      <c r="AP74" s="116" t="str">
        <f>IF(AN74="","",VLOOKUP(AN74,'11. Lists'!$F$36:$H$38,3,FALSE))</f>
        <v/>
      </c>
      <c r="AQ74" s="115" t="str">
        <f>IF(D74="","",IF(AX74="Distinctiveness","N/A",VLOOKUP(F74,'10. Condition and Temporal'!$B$6:$L$103,11,FALSE)))</f>
        <v/>
      </c>
      <c r="AR74" s="119" t="str">
        <f>IF(AQ74="","",IF(AQ74="N/A","1",VLOOKUP(AQ74,'11. Lists'!$I$47:$K$80,3,FALSE)))</f>
        <v/>
      </c>
      <c r="AS74" s="135" t="str">
        <f>IF(D74="","",IF(AX74="Condition","N/A",VLOOKUP(F74,'10. Condition and Temporal'!$B$6:$M$106,12,FALSE)))</f>
        <v/>
      </c>
      <c r="AT74" s="119" t="str">
        <f>IF(AS74="","",IF(AS74="N/A","1",VLOOKUP(AS74,'11. Lists'!$I$47:$K$80,3,FALSE)))</f>
        <v/>
      </c>
      <c r="AU74" s="118" t="str">
        <f>IF(D74="","",VLOOKUP(F74,'9. All Habitats + Multipliers'!$C$4:$K$102,8,FALSE))</f>
        <v/>
      </c>
      <c r="AV74" s="116" t="str">
        <f>IF(AU74="","",VLOOKUP(AU74,'11. Lists'!$J$35:$K$38,2,FALSE))</f>
        <v/>
      </c>
      <c r="AW74" s="115" t="str">
        <f>IF(D74="","",VLOOKUP(D74,'10. Condition and Temporal'!$B$6:$M$103,4,FALSE))</f>
        <v/>
      </c>
      <c r="AX74" s="467" t="str">
        <f t="shared" si="23"/>
        <v/>
      </c>
      <c r="AY74" s="490" t="str">
        <v>1</v>
      </c>
      <c r="AZ74" s="487"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8" t="str">
        <f t="shared" si="51"/>
        <v/>
      </c>
      <c r="BW74" s="95" t="s">
        <v>174</v>
      </c>
      <c r="BX74" s="95">
        <f>BJ64</f>
        <v>0</v>
      </c>
    </row>
    <row r="75" spans="1:76" s="25" customFormat="1" ht="15.75" customHeight="1" x14ac:dyDescent="0.25">
      <c r="B75" s="268">
        <v>10</v>
      </c>
      <c r="C75" s="120" t="str">
        <f t="shared" si="13"/>
        <v/>
      </c>
      <c r="D75" s="212" t="str">
        <f t="shared" si="44"/>
        <v/>
      </c>
      <c r="E75" s="170" t="str">
        <f t="shared" si="14"/>
        <v/>
      </c>
      <c r="F75" s="664"/>
      <c r="G75" s="665"/>
      <c r="H75" s="167" t="str">
        <f t="shared" si="15"/>
        <v/>
      </c>
      <c r="I75" s="321" t="str">
        <f t="shared" si="45"/>
        <v/>
      </c>
      <c r="J75" s="948" t="str">
        <f>IF(F75="","",VLOOKUP(F75,'10. Condition and Temporal'!$B$6:$F$103,5,FALSE))</f>
        <v/>
      </c>
      <c r="K75" s="949"/>
      <c r="L75" s="298" t="str">
        <f t="shared" si="46"/>
        <v/>
      </c>
      <c r="M75" s="942" t="str">
        <f t="shared" si="47"/>
        <v/>
      </c>
      <c r="N75" s="943"/>
      <c r="O75" s="74"/>
      <c r="P75" s="12"/>
      <c r="R75" s="646"/>
      <c r="T75" s="181" t="str">
        <f t="shared" si="16"/>
        <v/>
      </c>
      <c r="U75" s="115" t="str">
        <f t="shared" si="48"/>
        <v/>
      </c>
      <c r="V75" s="116" t="str">
        <f t="shared" si="17"/>
        <v/>
      </c>
      <c r="W75" s="114" t="str">
        <f t="shared" si="17"/>
        <v/>
      </c>
      <c r="X75" s="93" t="str">
        <f t="shared" si="17"/>
        <v/>
      </c>
      <c r="Y75" s="347"/>
      <c r="Z75" s="347"/>
      <c r="AA75" s="347"/>
      <c r="AB75" s="94" t="str">
        <f t="shared" si="18"/>
        <v/>
      </c>
      <c r="AC75" s="118" t="str">
        <f t="shared" si="19"/>
        <v/>
      </c>
      <c r="AD75" s="116" t="str">
        <f t="shared" si="49"/>
        <v/>
      </c>
      <c r="AE75" s="183" t="str">
        <f t="shared" si="50"/>
        <v/>
      </c>
      <c r="AF75" s="114" t="str">
        <f t="shared" si="20"/>
        <v/>
      </c>
      <c r="AG75" s="115" t="str">
        <f>IF(D75="","",VLOOKUP(F75,'9. All Habitats + Multipliers'!$C$4:$K$102,5,FALSE))</f>
        <v/>
      </c>
      <c r="AH75" s="116" t="str">
        <f>IF(AG75="","",VLOOKUP(AG75,'11. Lists'!$B$47:$D$49,2,FALSE))</f>
        <v/>
      </c>
      <c r="AI75" s="115" t="str">
        <f t="shared" si="21"/>
        <v/>
      </c>
      <c r="AJ75" s="485" t="str">
        <f>IF(AI75="","",VLOOKUP(AI75,'11. Lists'!$F$47:$G$51,2,FALSE))</f>
        <v/>
      </c>
      <c r="AK75" s="486"/>
      <c r="AL75" s="486"/>
      <c r="AM75" s="486"/>
      <c r="AN75" s="485" t="str">
        <f t="shared" si="22"/>
        <v/>
      </c>
      <c r="AO75" s="117" t="str">
        <f>IF(AN75="","",VLOOKUP(AN75,'11. Lists'!$F$36:$H$38,2,FALSE))</f>
        <v/>
      </c>
      <c r="AP75" s="116" t="str">
        <f>IF(AN75="","",VLOOKUP(AN75,'11. Lists'!$F$36:$H$38,3,FALSE))</f>
        <v/>
      </c>
      <c r="AQ75" s="115" t="str">
        <f>IF(D75="","",IF(AX75="Distinctiveness","N/A",VLOOKUP(F75,'10. Condition and Temporal'!$B$6:$L$103,11,FALSE)))</f>
        <v/>
      </c>
      <c r="AR75" s="119" t="str">
        <f>IF(AQ75="","",IF(AQ75="N/A","1",VLOOKUP(AQ75,'11. Lists'!$I$47:$K$80,3,FALSE)))</f>
        <v/>
      </c>
      <c r="AS75" s="135" t="str">
        <f>IF(D75="","",IF(AX75="Condition","N/A",VLOOKUP(F75,'10. Condition and Temporal'!$B$6:$M$106,12,FALSE)))</f>
        <v/>
      </c>
      <c r="AT75" s="119" t="str">
        <f>IF(AS75="","",IF(AS75="N/A","1",VLOOKUP(AS75,'11. Lists'!$I$47:$K$80,3,FALSE)))</f>
        <v/>
      </c>
      <c r="AU75" s="118" t="str">
        <f>IF(D75="","",VLOOKUP(F75,'9. All Habitats + Multipliers'!$C$4:$K$102,8,FALSE))</f>
        <v/>
      </c>
      <c r="AV75" s="116" t="str">
        <f>IF(AU75="","",VLOOKUP(AU75,'11. Lists'!$J$35:$K$38,2,FALSE))</f>
        <v/>
      </c>
      <c r="AW75" s="115" t="str">
        <f>IF(D75="","",VLOOKUP(D75,'10. Condition and Temporal'!$B$6:$M$103,4,FALSE))</f>
        <v/>
      </c>
      <c r="AX75" s="467" t="str">
        <f t="shared" si="23"/>
        <v/>
      </c>
      <c r="AY75" s="490" t="str">
        <v>1</v>
      </c>
      <c r="AZ75" s="487"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8" t="str">
        <f t="shared" si="51"/>
        <v/>
      </c>
      <c r="BW75" s="95" t="s">
        <v>175</v>
      </c>
      <c r="BX75" s="95">
        <f>BK64</f>
        <v>0</v>
      </c>
    </row>
    <row r="76" spans="1:76" s="25" customFormat="1" ht="15.75" x14ac:dyDescent="0.25">
      <c r="B76" s="268">
        <v>11</v>
      </c>
      <c r="C76" s="120" t="str">
        <f t="shared" si="13"/>
        <v/>
      </c>
      <c r="D76" s="212" t="str">
        <f t="shared" si="44"/>
        <v/>
      </c>
      <c r="E76" s="170" t="str">
        <f t="shared" si="14"/>
        <v/>
      </c>
      <c r="F76" s="664"/>
      <c r="G76" s="665"/>
      <c r="H76" s="167" t="str">
        <f t="shared" si="15"/>
        <v/>
      </c>
      <c r="I76" s="321" t="str">
        <f t="shared" si="45"/>
        <v/>
      </c>
      <c r="J76" s="948" t="str">
        <f>IF(F76="","",VLOOKUP(F76,'10. Condition and Temporal'!$B$6:$F$103,5,FALSE))</f>
        <v/>
      </c>
      <c r="K76" s="949"/>
      <c r="L76" s="298" t="str">
        <f t="shared" si="46"/>
        <v/>
      </c>
      <c r="M76" s="942" t="str">
        <f t="shared" si="47"/>
        <v/>
      </c>
      <c r="N76" s="943"/>
      <c r="O76" s="74"/>
      <c r="P76" s="12"/>
      <c r="R76" s="646"/>
      <c r="T76" s="181" t="str">
        <f t="shared" si="16"/>
        <v/>
      </c>
      <c r="U76" s="115" t="str">
        <f t="shared" si="48"/>
        <v/>
      </c>
      <c r="V76" s="116" t="str">
        <f t="shared" si="17"/>
        <v/>
      </c>
      <c r="W76" s="114" t="str">
        <f t="shared" si="17"/>
        <v/>
      </c>
      <c r="X76" s="93" t="str">
        <f t="shared" si="17"/>
        <v/>
      </c>
      <c r="Y76" s="347"/>
      <c r="Z76" s="347"/>
      <c r="AA76" s="347"/>
      <c r="AB76" s="94" t="str">
        <f t="shared" si="18"/>
        <v/>
      </c>
      <c r="AC76" s="118" t="str">
        <f t="shared" si="19"/>
        <v/>
      </c>
      <c r="AD76" s="116" t="str">
        <f t="shared" si="49"/>
        <v/>
      </c>
      <c r="AE76" s="183" t="str">
        <f t="shared" si="50"/>
        <v/>
      </c>
      <c r="AF76" s="114" t="str">
        <f t="shared" si="20"/>
        <v/>
      </c>
      <c r="AG76" s="115" t="str">
        <f>IF(D76="","",VLOOKUP(F76,'9. All Habitats + Multipliers'!$C$4:$K$102,5,FALSE))</f>
        <v/>
      </c>
      <c r="AH76" s="116" t="str">
        <f>IF(AG76="","",VLOOKUP(AG76,'11. Lists'!$B$47:$D$49,2,FALSE))</f>
        <v/>
      </c>
      <c r="AI76" s="115" t="str">
        <f t="shared" si="21"/>
        <v/>
      </c>
      <c r="AJ76" s="485" t="str">
        <f>IF(AI76="","",VLOOKUP(AI76,'11. Lists'!$F$47:$G$51,2,FALSE))</f>
        <v/>
      </c>
      <c r="AK76" s="486"/>
      <c r="AL76" s="486"/>
      <c r="AM76" s="486"/>
      <c r="AN76" s="485" t="str">
        <f t="shared" si="22"/>
        <v/>
      </c>
      <c r="AO76" s="117" t="str">
        <f>IF(AN76="","",VLOOKUP(AN76,'11. Lists'!$F$36:$H$38,2,FALSE))</f>
        <v/>
      </c>
      <c r="AP76" s="116" t="str">
        <f>IF(AN76="","",VLOOKUP(AN76,'11. Lists'!$F$36:$H$38,3,FALSE))</f>
        <v/>
      </c>
      <c r="AQ76" s="115" t="str">
        <f>IF(D76="","",IF(AX76="Distinctiveness","N/A",VLOOKUP(F76,'10. Condition and Temporal'!$B$6:$L$103,11,FALSE)))</f>
        <v/>
      </c>
      <c r="AR76" s="119" t="str">
        <f>IF(AQ76="","",IF(AQ76="N/A","1",VLOOKUP(AQ76,'11. Lists'!$I$47:$K$80,3,FALSE)))</f>
        <v/>
      </c>
      <c r="AS76" s="135" t="str">
        <f>IF(D76="","",IF(AX76="Condition","N/A",VLOOKUP(F76,'10. Condition and Temporal'!$B$6:$M$106,12,FALSE)))</f>
        <v/>
      </c>
      <c r="AT76" s="119" t="str">
        <f>IF(AS76="","",IF(AS76="N/A","1",VLOOKUP(AS76,'11. Lists'!$I$47:$K$80,3,FALSE)))</f>
        <v/>
      </c>
      <c r="AU76" s="118" t="str">
        <f>IF(D76="","",VLOOKUP(F76,'9. All Habitats + Multipliers'!$C$4:$K$102,8,FALSE))</f>
        <v/>
      </c>
      <c r="AV76" s="116" t="str">
        <f>IF(AU76="","",VLOOKUP(AU76,'11. Lists'!$J$35:$K$38,2,FALSE))</f>
        <v/>
      </c>
      <c r="AW76" s="115" t="str">
        <f>IF(D76="","",VLOOKUP(D76,'10. Condition and Temporal'!$B$6:$M$103,4,FALSE))</f>
        <v/>
      </c>
      <c r="AX76" s="467" t="str">
        <f t="shared" si="23"/>
        <v/>
      </c>
      <c r="AY76" s="490" t="str">
        <v>1</v>
      </c>
      <c r="AZ76" s="487"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8" t="str">
        <f t="shared" si="51"/>
        <v/>
      </c>
      <c r="BW76" s="95" t="s">
        <v>176</v>
      </c>
      <c r="BX76" s="95">
        <f>BL64</f>
        <v>0</v>
      </c>
    </row>
    <row r="77" spans="1:76" s="25" customFormat="1" ht="15.75" customHeight="1" x14ac:dyDescent="0.25">
      <c r="B77" s="268">
        <v>12</v>
      </c>
      <c r="C77" s="120" t="str">
        <f t="shared" si="13"/>
        <v/>
      </c>
      <c r="D77" s="212" t="str">
        <f t="shared" si="44"/>
        <v/>
      </c>
      <c r="E77" s="170" t="str">
        <f t="shared" si="14"/>
        <v/>
      </c>
      <c r="F77" s="664"/>
      <c r="G77" s="665"/>
      <c r="H77" s="167" t="str">
        <f t="shared" si="15"/>
        <v/>
      </c>
      <c r="I77" s="321" t="str">
        <f t="shared" si="45"/>
        <v/>
      </c>
      <c r="J77" s="948" t="str">
        <f>IF(F77="","",VLOOKUP(F77,'10. Condition and Temporal'!$B$6:$F$103,5,FALSE))</f>
        <v/>
      </c>
      <c r="K77" s="949"/>
      <c r="L77" s="298" t="str">
        <f t="shared" si="46"/>
        <v/>
      </c>
      <c r="M77" s="942" t="str">
        <f t="shared" si="47"/>
        <v/>
      </c>
      <c r="N77" s="943"/>
      <c r="O77" s="74"/>
      <c r="P77" s="12"/>
      <c r="R77" s="646"/>
      <c r="T77" s="181" t="str">
        <f t="shared" si="16"/>
        <v/>
      </c>
      <c r="U77" s="115" t="str">
        <f t="shared" si="48"/>
        <v/>
      </c>
      <c r="V77" s="116" t="str">
        <f t="shared" si="17"/>
        <v/>
      </c>
      <c r="W77" s="114" t="str">
        <f t="shared" si="17"/>
        <v/>
      </c>
      <c r="X77" s="93" t="str">
        <f t="shared" si="17"/>
        <v/>
      </c>
      <c r="Y77" s="347"/>
      <c r="Z77" s="347"/>
      <c r="AA77" s="347"/>
      <c r="AB77" s="94" t="str">
        <f t="shared" si="18"/>
        <v/>
      </c>
      <c r="AC77" s="118" t="str">
        <f t="shared" si="19"/>
        <v/>
      </c>
      <c r="AD77" s="116" t="str">
        <f t="shared" si="49"/>
        <v/>
      </c>
      <c r="AE77" s="183" t="str">
        <f t="shared" si="50"/>
        <v/>
      </c>
      <c r="AF77" s="114" t="str">
        <f t="shared" si="20"/>
        <v/>
      </c>
      <c r="AG77" s="115" t="str">
        <f>IF(D77="","",VLOOKUP(F77,'9. All Habitats + Multipliers'!$C$4:$K$102,5,FALSE))</f>
        <v/>
      </c>
      <c r="AH77" s="116" t="str">
        <f>IF(AG77="","",VLOOKUP(AG77,'11. Lists'!$B$47:$D$49,2,FALSE))</f>
        <v/>
      </c>
      <c r="AI77" s="115" t="str">
        <f t="shared" si="21"/>
        <v/>
      </c>
      <c r="AJ77" s="485" t="str">
        <f>IF(AI77="","",VLOOKUP(AI77,'11. Lists'!$F$47:$G$51,2,FALSE))</f>
        <v/>
      </c>
      <c r="AK77" s="486"/>
      <c r="AL77" s="486"/>
      <c r="AM77" s="486"/>
      <c r="AN77" s="485" t="str">
        <f t="shared" si="22"/>
        <v/>
      </c>
      <c r="AO77" s="117" t="str">
        <f>IF(AN77="","",VLOOKUP(AN77,'11. Lists'!$F$36:$H$38,2,FALSE))</f>
        <v/>
      </c>
      <c r="AP77" s="116" t="str">
        <f>IF(AN77="","",VLOOKUP(AN77,'11. Lists'!$F$36:$H$38,3,FALSE))</f>
        <v/>
      </c>
      <c r="AQ77" s="115" t="str">
        <f>IF(D77="","",IF(AX77="Distinctiveness","N/A",VLOOKUP(F77,'10. Condition and Temporal'!$B$6:$L$103,11,FALSE)))</f>
        <v/>
      </c>
      <c r="AR77" s="119" t="str">
        <f>IF(AQ77="","",IF(AQ77="N/A","1",VLOOKUP(AQ77,'11. Lists'!$I$47:$K$80,3,FALSE)))</f>
        <v/>
      </c>
      <c r="AS77" s="135" t="str">
        <f>IF(D77="","",IF(AX77="Condition","N/A",VLOOKUP(F77,'10. Condition and Temporal'!$B$6:$M$106,12,FALSE)))</f>
        <v/>
      </c>
      <c r="AT77" s="119" t="str">
        <f>IF(AS77="","",IF(AS77="N/A","1",VLOOKUP(AS77,'11. Lists'!$I$47:$K$80,3,FALSE)))</f>
        <v/>
      </c>
      <c r="AU77" s="118" t="str">
        <f>IF(D77="","",VLOOKUP(F77,'9. All Habitats + Multipliers'!$C$4:$K$102,8,FALSE))</f>
        <v/>
      </c>
      <c r="AV77" s="116" t="str">
        <f>IF(AU77="","",VLOOKUP(AU77,'11. Lists'!$J$35:$K$38,2,FALSE))</f>
        <v/>
      </c>
      <c r="AW77" s="115" t="str">
        <f>IF(D77="","",VLOOKUP(D77,'10. Condition and Temporal'!$B$6:$M$103,4,FALSE))</f>
        <v/>
      </c>
      <c r="AX77" s="467" t="str">
        <f t="shared" si="23"/>
        <v/>
      </c>
      <c r="AY77" s="490" t="str">
        <v>1</v>
      </c>
      <c r="AZ77" s="487"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8" t="str">
        <f t="shared" si="51"/>
        <v/>
      </c>
      <c r="BW77" s="95" t="s">
        <v>177</v>
      </c>
      <c r="BX77" s="95">
        <f>BM64</f>
        <v>0</v>
      </c>
    </row>
    <row r="78" spans="1:76" s="25" customFormat="1" ht="15.75" customHeight="1" x14ac:dyDescent="0.25">
      <c r="B78" s="268">
        <v>13</v>
      </c>
      <c r="C78" s="120" t="str">
        <f t="shared" si="13"/>
        <v/>
      </c>
      <c r="D78" s="212" t="str">
        <f t="shared" si="44"/>
        <v/>
      </c>
      <c r="E78" s="170" t="str">
        <f t="shared" si="14"/>
        <v/>
      </c>
      <c r="F78" s="664"/>
      <c r="G78" s="665"/>
      <c r="H78" s="167" t="str">
        <f t="shared" si="15"/>
        <v/>
      </c>
      <c r="I78" s="321" t="str">
        <f t="shared" si="45"/>
        <v/>
      </c>
      <c r="J78" s="948" t="str">
        <f>IF(F78="","",VLOOKUP(F78,'10. Condition and Temporal'!$B$6:$F$103,5,FALSE))</f>
        <v/>
      </c>
      <c r="K78" s="949"/>
      <c r="L78" s="298" t="str">
        <f t="shared" si="46"/>
        <v/>
      </c>
      <c r="M78" s="942" t="str">
        <f t="shared" si="47"/>
        <v/>
      </c>
      <c r="N78" s="943"/>
      <c r="O78" s="74"/>
      <c r="P78" s="12"/>
      <c r="R78" s="646"/>
      <c r="T78" s="181" t="str">
        <f t="shared" si="16"/>
        <v/>
      </c>
      <c r="U78" s="115" t="str">
        <f t="shared" si="48"/>
        <v/>
      </c>
      <c r="V78" s="116" t="str">
        <f t="shared" si="17"/>
        <v/>
      </c>
      <c r="W78" s="114" t="str">
        <f t="shared" si="17"/>
        <v/>
      </c>
      <c r="X78" s="93" t="str">
        <f t="shared" si="17"/>
        <v/>
      </c>
      <c r="Y78" s="347"/>
      <c r="Z78" s="347"/>
      <c r="AA78" s="347"/>
      <c r="AB78" s="94" t="str">
        <f t="shared" si="18"/>
        <v/>
      </c>
      <c r="AC78" s="118" t="str">
        <f t="shared" si="19"/>
        <v/>
      </c>
      <c r="AD78" s="116" t="str">
        <f t="shared" si="49"/>
        <v/>
      </c>
      <c r="AE78" s="183" t="str">
        <f t="shared" si="50"/>
        <v/>
      </c>
      <c r="AF78" s="114" t="str">
        <f t="shared" si="20"/>
        <v/>
      </c>
      <c r="AG78" s="115" t="str">
        <f>IF(D78="","",VLOOKUP(F78,'9. All Habitats + Multipliers'!$C$4:$K$102,5,FALSE))</f>
        <v/>
      </c>
      <c r="AH78" s="116" t="str">
        <f>IF(AG78="","",VLOOKUP(AG78,'11. Lists'!$B$47:$D$49,2,FALSE))</f>
        <v/>
      </c>
      <c r="AI78" s="115" t="str">
        <f t="shared" si="21"/>
        <v/>
      </c>
      <c r="AJ78" s="485" t="str">
        <f>IF(AI78="","",VLOOKUP(AI78,'11. Lists'!$F$47:$G$51,2,FALSE))</f>
        <v/>
      </c>
      <c r="AK78" s="486"/>
      <c r="AL78" s="486"/>
      <c r="AM78" s="486"/>
      <c r="AN78" s="485" t="str">
        <f t="shared" si="22"/>
        <v/>
      </c>
      <c r="AO78" s="117" t="str">
        <f>IF(AN78="","",VLOOKUP(AN78,'11. Lists'!$F$36:$H$38,2,FALSE))</f>
        <v/>
      </c>
      <c r="AP78" s="116" t="str">
        <f>IF(AN78="","",VLOOKUP(AN78,'11. Lists'!$F$36:$H$38,3,FALSE))</f>
        <v/>
      </c>
      <c r="AQ78" s="115" t="str">
        <f>IF(D78="","",IF(AX78="Distinctiveness","N/A",VLOOKUP(F78,'10. Condition and Temporal'!$B$6:$L$103,11,FALSE)))</f>
        <v/>
      </c>
      <c r="AR78" s="119" t="str">
        <f>IF(AQ78="","",IF(AQ78="N/A","1",VLOOKUP(AQ78,'11. Lists'!$I$47:$K$80,3,FALSE)))</f>
        <v/>
      </c>
      <c r="AS78" s="135" t="str">
        <f>IF(D78="","",IF(AX78="Condition","N/A",VLOOKUP(F78,'10. Condition and Temporal'!$B$6:$M$106,12,FALSE)))</f>
        <v/>
      </c>
      <c r="AT78" s="119" t="str">
        <f>IF(AS78="","",IF(AS78="N/A","1",VLOOKUP(AS78,'11. Lists'!$I$47:$K$80,3,FALSE)))</f>
        <v/>
      </c>
      <c r="AU78" s="118" t="str">
        <f>IF(D78="","",VLOOKUP(F78,'9. All Habitats + Multipliers'!$C$4:$K$102,8,FALSE))</f>
        <v/>
      </c>
      <c r="AV78" s="116" t="str">
        <f>IF(AU78="","",VLOOKUP(AU78,'11. Lists'!$J$35:$K$38,2,FALSE))</f>
        <v/>
      </c>
      <c r="AW78" s="115" t="str">
        <f>IF(D78="","",VLOOKUP(D78,'10. Condition and Temporal'!$B$6:$M$103,4,FALSE))</f>
        <v/>
      </c>
      <c r="AX78" s="467" t="str">
        <f t="shared" si="23"/>
        <v/>
      </c>
      <c r="AY78" s="490" t="str">
        <v>1</v>
      </c>
      <c r="AZ78" s="487"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8" t="str">
        <f t="shared" si="51"/>
        <v/>
      </c>
      <c r="BW78" s="95" t="s">
        <v>178</v>
      </c>
      <c r="BX78" s="95">
        <f>BN64</f>
        <v>0</v>
      </c>
    </row>
    <row r="79" spans="1:76" s="25" customFormat="1" ht="15.75" x14ac:dyDescent="0.25">
      <c r="B79" s="268">
        <v>14</v>
      </c>
      <c r="C79" s="120" t="str">
        <f t="shared" si="13"/>
        <v/>
      </c>
      <c r="D79" s="212" t="str">
        <f t="shared" si="44"/>
        <v/>
      </c>
      <c r="E79" s="170" t="str">
        <f t="shared" si="14"/>
        <v/>
      </c>
      <c r="F79" s="664"/>
      <c r="G79" s="665"/>
      <c r="H79" s="167" t="str">
        <f t="shared" si="15"/>
        <v/>
      </c>
      <c r="I79" s="321" t="str">
        <f t="shared" si="45"/>
        <v/>
      </c>
      <c r="J79" s="948" t="str">
        <f>IF(F79="","",VLOOKUP(F79,'10. Condition and Temporal'!$B$6:$F$103,5,FALSE))</f>
        <v/>
      </c>
      <c r="K79" s="949"/>
      <c r="L79" s="298" t="str">
        <f t="shared" si="46"/>
        <v/>
      </c>
      <c r="M79" s="942" t="str">
        <f t="shared" si="47"/>
        <v/>
      </c>
      <c r="N79" s="943"/>
      <c r="O79" s="74"/>
      <c r="P79" s="12"/>
      <c r="R79" s="646"/>
      <c r="T79" s="181" t="str">
        <f t="shared" si="16"/>
        <v/>
      </c>
      <c r="U79" s="115" t="str">
        <f t="shared" si="48"/>
        <v/>
      </c>
      <c r="V79" s="116" t="str">
        <f t="shared" si="17"/>
        <v/>
      </c>
      <c r="W79" s="114" t="str">
        <f t="shared" si="17"/>
        <v/>
      </c>
      <c r="X79" s="93" t="str">
        <f t="shared" si="17"/>
        <v/>
      </c>
      <c r="Y79" s="347"/>
      <c r="Z79" s="347"/>
      <c r="AA79" s="347"/>
      <c r="AB79" s="94" t="str">
        <f t="shared" si="18"/>
        <v/>
      </c>
      <c r="AC79" s="118" t="str">
        <f t="shared" si="19"/>
        <v/>
      </c>
      <c r="AD79" s="116" t="str">
        <f t="shared" si="49"/>
        <v/>
      </c>
      <c r="AE79" s="183" t="str">
        <f t="shared" si="50"/>
        <v/>
      </c>
      <c r="AF79" s="114" t="str">
        <f t="shared" si="20"/>
        <v/>
      </c>
      <c r="AG79" s="115" t="str">
        <f>IF(D79="","",VLOOKUP(F79,'9. All Habitats + Multipliers'!$C$4:$K$102,5,FALSE))</f>
        <v/>
      </c>
      <c r="AH79" s="116" t="str">
        <f>IF(AG79="","",VLOOKUP(AG79,'11. Lists'!$B$47:$D$49,2,FALSE))</f>
        <v/>
      </c>
      <c r="AI79" s="115" t="str">
        <f t="shared" si="21"/>
        <v/>
      </c>
      <c r="AJ79" s="485" t="str">
        <f>IF(AI79="","",VLOOKUP(AI79,'11. Lists'!$F$47:$G$51,2,FALSE))</f>
        <v/>
      </c>
      <c r="AK79" s="486"/>
      <c r="AL79" s="486"/>
      <c r="AM79" s="486"/>
      <c r="AN79" s="485" t="str">
        <f t="shared" si="22"/>
        <v/>
      </c>
      <c r="AO79" s="117" t="str">
        <f>IF(AN79="","",VLOOKUP(AN79,'11. Lists'!$F$36:$H$38,2,FALSE))</f>
        <v/>
      </c>
      <c r="AP79" s="116" t="str">
        <f>IF(AN79="","",VLOOKUP(AN79,'11. Lists'!$F$36:$H$38,3,FALSE))</f>
        <v/>
      </c>
      <c r="AQ79" s="115" t="str">
        <f>IF(D79="","",IF(AX79="Distinctiveness","N/A",VLOOKUP(F79,'10. Condition and Temporal'!$B$6:$L$103,11,FALSE)))</f>
        <v/>
      </c>
      <c r="AR79" s="119" t="str">
        <f>IF(AQ79="","",IF(AQ79="N/A","1",VLOOKUP(AQ79,'11. Lists'!$I$47:$K$80,3,FALSE)))</f>
        <v/>
      </c>
      <c r="AS79" s="135" t="str">
        <f>IF(D79="","",IF(AX79="Condition","N/A",VLOOKUP(F79,'10. Condition and Temporal'!$B$6:$M$106,12,FALSE)))</f>
        <v/>
      </c>
      <c r="AT79" s="119" t="str">
        <f>IF(AS79="","",IF(AS79="N/A","1",VLOOKUP(AS79,'11. Lists'!$I$47:$K$80,3,FALSE)))</f>
        <v/>
      </c>
      <c r="AU79" s="118" t="str">
        <f>IF(D79="","",VLOOKUP(F79,'9. All Habitats + Multipliers'!$C$4:$K$102,8,FALSE))</f>
        <v/>
      </c>
      <c r="AV79" s="116" t="str">
        <f>IF(AU79="","",VLOOKUP(AU79,'11. Lists'!$J$35:$K$38,2,FALSE))</f>
        <v/>
      </c>
      <c r="AW79" s="115" t="str">
        <f>IF(D79="","",VLOOKUP(D79,'10. Condition and Temporal'!$B$6:$M$103,4,FALSE))</f>
        <v/>
      </c>
      <c r="AX79" s="467" t="str">
        <f t="shared" si="23"/>
        <v/>
      </c>
      <c r="AY79" s="490" t="str">
        <v>1</v>
      </c>
      <c r="AZ79" s="487"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8" t="str">
        <f t="shared" si="51"/>
        <v/>
      </c>
      <c r="BW79" s="95" t="s">
        <v>179</v>
      </c>
      <c r="BX79" s="95">
        <f>BO64</f>
        <v>0</v>
      </c>
    </row>
    <row r="80" spans="1:76" s="25" customFormat="1" ht="15.75" customHeight="1" x14ac:dyDescent="0.25">
      <c r="B80" s="268">
        <v>15</v>
      </c>
      <c r="C80" s="120" t="str">
        <f t="shared" si="13"/>
        <v/>
      </c>
      <c r="D80" s="212" t="str">
        <f t="shared" si="44"/>
        <v/>
      </c>
      <c r="E80" s="170" t="str">
        <f t="shared" si="14"/>
        <v/>
      </c>
      <c r="F80" s="664"/>
      <c r="G80" s="665"/>
      <c r="H80" s="167" t="str">
        <f t="shared" si="15"/>
        <v/>
      </c>
      <c r="I80" s="321" t="str">
        <f t="shared" si="45"/>
        <v/>
      </c>
      <c r="J80" s="948" t="str">
        <f>IF(F80="","",VLOOKUP(F80,'10. Condition and Temporal'!$B$6:$F$103,5,FALSE))</f>
        <v/>
      </c>
      <c r="K80" s="949"/>
      <c r="L80" s="298" t="str">
        <f t="shared" si="46"/>
        <v/>
      </c>
      <c r="M80" s="942" t="str">
        <f t="shared" si="47"/>
        <v/>
      </c>
      <c r="N80" s="943"/>
      <c r="O80" s="74"/>
      <c r="P80" s="12"/>
      <c r="R80" s="646"/>
      <c r="T80" s="181" t="str">
        <f t="shared" si="16"/>
        <v/>
      </c>
      <c r="U80" s="115" t="str">
        <f t="shared" si="48"/>
        <v/>
      </c>
      <c r="V80" s="116" t="str">
        <f t="shared" si="17"/>
        <v/>
      </c>
      <c r="W80" s="114" t="str">
        <f t="shared" si="17"/>
        <v/>
      </c>
      <c r="X80" s="93" t="str">
        <f t="shared" si="17"/>
        <v/>
      </c>
      <c r="Y80" s="347"/>
      <c r="Z80" s="347"/>
      <c r="AA80" s="347"/>
      <c r="AB80" s="94" t="str">
        <f t="shared" si="18"/>
        <v/>
      </c>
      <c r="AC80" s="118" t="str">
        <f t="shared" si="19"/>
        <v/>
      </c>
      <c r="AD80" s="116" t="str">
        <f t="shared" si="49"/>
        <v/>
      </c>
      <c r="AE80" s="183" t="str">
        <f t="shared" si="50"/>
        <v/>
      </c>
      <c r="AF80" s="114" t="str">
        <f t="shared" si="20"/>
        <v/>
      </c>
      <c r="AG80" s="115" t="str">
        <f>IF(D80="","",VLOOKUP(F80,'9. All Habitats + Multipliers'!$C$4:$K$102,5,FALSE))</f>
        <v/>
      </c>
      <c r="AH80" s="116" t="str">
        <f>IF(AG80="","",VLOOKUP(AG80,'11. Lists'!$B$47:$D$49,2,FALSE))</f>
        <v/>
      </c>
      <c r="AI80" s="115" t="str">
        <f t="shared" si="21"/>
        <v/>
      </c>
      <c r="AJ80" s="485" t="str">
        <f>IF(AI80="","",VLOOKUP(AI80,'11. Lists'!$F$47:$G$51,2,FALSE))</f>
        <v/>
      </c>
      <c r="AK80" s="486"/>
      <c r="AL80" s="486"/>
      <c r="AM80" s="486"/>
      <c r="AN80" s="485" t="str">
        <f t="shared" si="22"/>
        <v/>
      </c>
      <c r="AO80" s="117" t="str">
        <f>IF(AN80="","",VLOOKUP(AN80,'11. Lists'!$F$36:$H$38,2,FALSE))</f>
        <v/>
      </c>
      <c r="AP80" s="116" t="str">
        <f>IF(AN80="","",VLOOKUP(AN80,'11. Lists'!$F$36:$H$38,3,FALSE))</f>
        <v/>
      </c>
      <c r="AQ80" s="115" t="str">
        <f>IF(D80="","",IF(AX80="Distinctiveness","N/A",VLOOKUP(F80,'10. Condition and Temporal'!$B$6:$L$103,11,FALSE)))</f>
        <v/>
      </c>
      <c r="AR80" s="119" t="str">
        <f>IF(AQ80="","",IF(AQ80="N/A","1",VLOOKUP(AQ80,'11. Lists'!$I$47:$K$80,3,FALSE)))</f>
        <v/>
      </c>
      <c r="AS80" s="135" t="str">
        <f>IF(D80="","",IF(AX80="Condition","N/A",VLOOKUP(F80,'10. Condition and Temporal'!$B$6:$M$106,12,FALSE)))</f>
        <v/>
      </c>
      <c r="AT80" s="119" t="str">
        <f>IF(AS80="","",IF(AS80="N/A","1",VLOOKUP(AS80,'11. Lists'!$I$47:$K$80,3,FALSE)))</f>
        <v/>
      </c>
      <c r="AU80" s="118" t="str">
        <f>IF(D80="","",VLOOKUP(F80,'9. All Habitats + Multipliers'!$C$4:$K$102,8,FALSE))</f>
        <v/>
      </c>
      <c r="AV80" s="116" t="str">
        <f>IF(AU80="","",VLOOKUP(AU80,'11. Lists'!$J$35:$K$38,2,FALSE))</f>
        <v/>
      </c>
      <c r="AW80" s="115" t="str">
        <f>IF(D80="","",VLOOKUP(D80,'10. Condition and Temporal'!$B$6:$M$103,4,FALSE))</f>
        <v/>
      </c>
      <c r="AX80" s="467" t="str">
        <f t="shared" si="23"/>
        <v/>
      </c>
      <c r="AY80" s="490" t="str">
        <v>1</v>
      </c>
      <c r="AZ80" s="487"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8" t="str">
        <f t="shared" si="51"/>
        <v/>
      </c>
      <c r="BW80" s="95" t="s">
        <v>180</v>
      </c>
      <c r="BX80" s="95">
        <f>BP64</f>
        <v>0</v>
      </c>
    </row>
    <row r="81" spans="1:76" s="25" customFormat="1" ht="15.75" customHeight="1" x14ac:dyDescent="0.25">
      <c r="B81" s="268">
        <v>16</v>
      </c>
      <c r="C81" s="120" t="str">
        <f t="shared" si="13"/>
        <v/>
      </c>
      <c r="D81" s="212" t="str">
        <f t="shared" si="44"/>
        <v/>
      </c>
      <c r="E81" s="170" t="str">
        <f t="shared" si="14"/>
        <v/>
      </c>
      <c r="F81" s="664"/>
      <c r="G81" s="665"/>
      <c r="H81" s="167" t="str">
        <f t="shared" si="15"/>
        <v/>
      </c>
      <c r="I81" s="321" t="str">
        <f t="shared" si="45"/>
        <v/>
      </c>
      <c r="J81" s="948" t="str">
        <f>IF(F81="","",VLOOKUP(F81,'10. Condition and Temporal'!$B$6:$F$103,5,FALSE))</f>
        <v/>
      </c>
      <c r="K81" s="949"/>
      <c r="L81" s="298" t="str">
        <f t="shared" si="46"/>
        <v/>
      </c>
      <c r="M81" s="942" t="str">
        <f t="shared" si="47"/>
        <v/>
      </c>
      <c r="N81" s="943"/>
      <c r="O81" s="74"/>
      <c r="P81" s="12"/>
      <c r="R81" s="646"/>
      <c r="T81" s="181" t="str">
        <f t="shared" si="16"/>
        <v/>
      </c>
      <c r="U81" s="115" t="str">
        <f t="shared" si="48"/>
        <v/>
      </c>
      <c r="V81" s="116" t="str">
        <f t="shared" si="17"/>
        <v/>
      </c>
      <c r="W81" s="114" t="str">
        <f t="shared" si="17"/>
        <v/>
      </c>
      <c r="X81" s="93" t="str">
        <f t="shared" si="17"/>
        <v/>
      </c>
      <c r="Y81" s="347"/>
      <c r="Z81" s="347"/>
      <c r="AA81" s="347"/>
      <c r="AB81" s="94" t="str">
        <f t="shared" si="18"/>
        <v/>
      </c>
      <c r="AC81" s="118" t="str">
        <f t="shared" si="19"/>
        <v/>
      </c>
      <c r="AD81" s="116" t="str">
        <f t="shared" si="49"/>
        <v/>
      </c>
      <c r="AE81" s="183" t="str">
        <f t="shared" si="50"/>
        <v/>
      </c>
      <c r="AF81" s="114" t="str">
        <f t="shared" si="20"/>
        <v/>
      </c>
      <c r="AG81" s="115" t="str">
        <f>IF(D81="","",VLOOKUP(F81,'9. All Habitats + Multipliers'!$C$4:$K$102,5,FALSE))</f>
        <v/>
      </c>
      <c r="AH81" s="116" t="str">
        <f>IF(AG81="","",VLOOKUP(AG81,'11. Lists'!$B$47:$D$49,2,FALSE))</f>
        <v/>
      </c>
      <c r="AI81" s="115" t="str">
        <f t="shared" si="21"/>
        <v/>
      </c>
      <c r="AJ81" s="485" t="str">
        <f>IF(AI81="","",VLOOKUP(AI81,'11. Lists'!$F$47:$G$51,2,FALSE))</f>
        <v/>
      </c>
      <c r="AK81" s="486"/>
      <c r="AL81" s="486"/>
      <c r="AM81" s="486"/>
      <c r="AN81" s="485" t="str">
        <f t="shared" si="22"/>
        <v/>
      </c>
      <c r="AO81" s="117" t="str">
        <f>IF(AN81="","",VLOOKUP(AN81,'11. Lists'!$F$36:$H$38,2,FALSE))</f>
        <v/>
      </c>
      <c r="AP81" s="116" t="str">
        <f>IF(AN81="","",VLOOKUP(AN81,'11. Lists'!$F$36:$H$38,3,FALSE))</f>
        <v/>
      </c>
      <c r="AQ81" s="115" t="str">
        <f>IF(D81="","",IF(AX81="Distinctiveness","N/A",VLOOKUP(F81,'10. Condition and Temporal'!$B$6:$L$103,11,FALSE)))</f>
        <v/>
      </c>
      <c r="AR81" s="119" t="str">
        <f>IF(AQ81="","",IF(AQ81="N/A","1",VLOOKUP(AQ81,'11. Lists'!$I$47:$K$80,3,FALSE)))</f>
        <v/>
      </c>
      <c r="AS81" s="135" t="str">
        <f>IF(D81="","",IF(AX81="Condition","N/A",VLOOKUP(F81,'10. Condition and Temporal'!$B$6:$M$106,12,FALSE)))</f>
        <v/>
      </c>
      <c r="AT81" s="119" t="str">
        <f>IF(AS81="","",IF(AS81="N/A","1",VLOOKUP(AS81,'11. Lists'!$I$47:$K$80,3,FALSE)))</f>
        <v/>
      </c>
      <c r="AU81" s="118" t="str">
        <f>IF(D81="","",VLOOKUP(F81,'9. All Habitats + Multipliers'!$C$4:$K$102,8,FALSE))</f>
        <v/>
      </c>
      <c r="AV81" s="116" t="str">
        <f>IF(AU81="","",VLOOKUP(AU81,'11. Lists'!$J$35:$K$38,2,FALSE))</f>
        <v/>
      </c>
      <c r="AW81" s="115" t="str">
        <f>IF(D81="","",VLOOKUP(D81,'10. Condition and Temporal'!$B$6:$M$103,4,FALSE))</f>
        <v/>
      </c>
      <c r="AX81" s="467" t="str">
        <f t="shared" si="23"/>
        <v/>
      </c>
      <c r="AY81" s="490" t="str">
        <v>1</v>
      </c>
      <c r="AZ81" s="487"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8" t="str">
        <f t="shared" si="51"/>
        <v/>
      </c>
      <c r="BW81" s="95" t="s">
        <v>181</v>
      </c>
      <c r="BX81" s="95">
        <f>BQ64</f>
        <v>0</v>
      </c>
    </row>
    <row r="82" spans="1:76" s="25" customFormat="1" ht="15.75" x14ac:dyDescent="0.25">
      <c r="B82" s="268">
        <v>17</v>
      </c>
      <c r="C82" s="120" t="str">
        <f t="shared" si="13"/>
        <v/>
      </c>
      <c r="D82" s="212" t="str">
        <f t="shared" si="44"/>
        <v/>
      </c>
      <c r="E82" s="170" t="str">
        <f t="shared" si="14"/>
        <v/>
      </c>
      <c r="F82" s="664"/>
      <c r="G82" s="665"/>
      <c r="H82" s="167" t="str">
        <f t="shared" si="15"/>
        <v/>
      </c>
      <c r="I82" s="321" t="str">
        <f t="shared" si="45"/>
        <v/>
      </c>
      <c r="J82" s="948" t="str">
        <f>IF(F82="","",VLOOKUP(F82,'10. Condition and Temporal'!$B$6:$F$103,5,FALSE))</f>
        <v/>
      </c>
      <c r="K82" s="949"/>
      <c r="L82" s="298" t="str">
        <f t="shared" si="46"/>
        <v/>
      </c>
      <c r="M82" s="942" t="str">
        <f t="shared" si="47"/>
        <v/>
      </c>
      <c r="N82" s="943"/>
      <c r="O82" s="74"/>
      <c r="P82" s="12"/>
      <c r="R82" s="646"/>
      <c r="T82" s="181" t="str">
        <f t="shared" si="16"/>
        <v/>
      </c>
      <c r="U82" s="115" t="str">
        <f t="shared" si="48"/>
        <v/>
      </c>
      <c r="V82" s="116" t="str">
        <f t="shared" si="17"/>
        <v/>
      </c>
      <c r="W82" s="114" t="str">
        <f t="shared" si="17"/>
        <v/>
      </c>
      <c r="X82" s="93" t="str">
        <f t="shared" si="17"/>
        <v/>
      </c>
      <c r="Y82" s="347"/>
      <c r="Z82" s="347"/>
      <c r="AA82" s="347"/>
      <c r="AB82" s="94" t="str">
        <f t="shared" si="18"/>
        <v/>
      </c>
      <c r="AC82" s="118" t="str">
        <f t="shared" si="19"/>
        <v/>
      </c>
      <c r="AD82" s="116" t="str">
        <f t="shared" si="49"/>
        <v/>
      </c>
      <c r="AE82" s="183" t="str">
        <f t="shared" si="50"/>
        <v/>
      </c>
      <c r="AF82" s="114" t="str">
        <f t="shared" si="20"/>
        <v/>
      </c>
      <c r="AG82" s="115" t="str">
        <f>IF(D82="","",VLOOKUP(F82,'9. All Habitats + Multipliers'!$C$4:$K$102,5,FALSE))</f>
        <v/>
      </c>
      <c r="AH82" s="116" t="str">
        <f>IF(AG82="","",VLOOKUP(AG82,'11. Lists'!$B$47:$D$49,2,FALSE))</f>
        <v/>
      </c>
      <c r="AI82" s="115" t="str">
        <f t="shared" si="21"/>
        <v/>
      </c>
      <c r="AJ82" s="485" t="str">
        <f>IF(AI82="","",VLOOKUP(AI82,'11. Lists'!$F$47:$G$51,2,FALSE))</f>
        <v/>
      </c>
      <c r="AK82" s="486"/>
      <c r="AL82" s="486"/>
      <c r="AM82" s="486"/>
      <c r="AN82" s="485" t="str">
        <f t="shared" si="22"/>
        <v/>
      </c>
      <c r="AO82" s="117" t="str">
        <f>IF(AN82="","",VLOOKUP(AN82,'11. Lists'!$F$36:$H$38,2,FALSE))</f>
        <v/>
      </c>
      <c r="AP82" s="116" t="str">
        <f>IF(AN82="","",VLOOKUP(AN82,'11. Lists'!$F$36:$H$38,3,FALSE))</f>
        <v/>
      </c>
      <c r="AQ82" s="115" t="str">
        <f>IF(D82="","",IF(AX82="Distinctiveness","N/A",VLOOKUP(F82,'10. Condition and Temporal'!$B$6:$L$103,11,FALSE)))</f>
        <v/>
      </c>
      <c r="AR82" s="119" t="str">
        <f>IF(AQ82="","",IF(AQ82="N/A","1",VLOOKUP(AQ82,'11. Lists'!$I$47:$K$80,3,FALSE)))</f>
        <v/>
      </c>
      <c r="AS82" s="135" t="str">
        <f>IF(D82="","",IF(AX82="Condition","N/A",VLOOKUP(F82,'10. Condition and Temporal'!$B$6:$M$106,12,FALSE)))</f>
        <v/>
      </c>
      <c r="AT82" s="119" t="str">
        <f>IF(AS82="","",IF(AS82="N/A","1",VLOOKUP(AS82,'11. Lists'!$I$47:$K$80,3,FALSE)))</f>
        <v/>
      </c>
      <c r="AU82" s="118" t="str">
        <f>IF(D82="","",VLOOKUP(F82,'9. All Habitats + Multipliers'!$C$4:$K$102,8,FALSE))</f>
        <v/>
      </c>
      <c r="AV82" s="116" t="str">
        <f>IF(AU82="","",VLOOKUP(AU82,'11. Lists'!$J$35:$K$38,2,FALSE))</f>
        <v/>
      </c>
      <c r="AW82" s="115" t="str">
        <f>IF(D82="","",VLOOKUP(D82,'10. Condition and Temporal'!$B$6:$M$103,4,FALSE))</f>
        <v/>
      </c>
      <c r="AX82" s="467" t="str">
        <f t="shared" si="23"/>
        <v/>
      </c>
      <c r="AY82" s="490" t="str">
        <v>1</v>
      </c>
      <c r="AZ82" s="487"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8" t="str">
        <f t="shared" si="51"/>
        <v/>
      </c>
      <c r="BW82" s="95" t="s">
        <v>182</v>
      </c>
      <c r="BX82" s="95">
        <f>BR64</f>
        <v>0</v>
      </c>
    </row>
    <row r="83" spans="1:76" s="25" customFormat="1" ht="15.75" customHeight="1" x14ac:dyDescent="0.25">
      <c r="B83" s="268">
        <v>18</v>
      </c>
      <c r="C83" s="120" t="str">
        <f t="shared" si="13"/>
        <v/>
      </c>
      <c r="D83" s="212" t="str">
        <f t="shared" si="44"/>
        <v/>
      </c>
      <c r="E83" s="170" t="str">
        <f t="shared" si="14"/>
        <v/>
      </c>
      <c r="F83" s="664"/>
      <c r="G83" s="665"/>
      <c r="H83" s="167" t="str">
        <f t="shared" si="15"/>
        <v/>
      </c>
      <c r="I83" s="321" t="str">
        <f t="shared" si="45"/>
        <v/>
      </c>
      <c r="J83" s="948" t="str">
        <f>IF(F83="","",VLOOKUP(F83,'10. Condition and Temporal'!$B$6:$F$103,5,FALSE))</f>
        <v/>
      </c>
      <c r="K83" s="949"/>
      <c r="L83" s="298" t="str">
        <f t="shared" si="46"/>
        <v/>
      </c>
      <c r="M83" s="942" t="str">
        <f t="shared" si="47"/>
        <v/>
      </c>
      <c r="N83" s="943"/>
      <c r="O83" s="74"/>
      <c r="P83" s="12"/>
      <c r="R83" s="646"/>
      <c r="T83" s="181" t="str">
        <f t="shared" si="16"/>
        <v/>
      </c>
      <c r="U83" s="115" t="str">
        <f t="shared" si="48"/>
        <v/>
      </c>
      <c r="V83" s="116" t="str">
        <f t="shared" si="17"/>
        <v/>
      </c>
      <c r="W83" s="114" t="str">
        <f t="shared" si="17"/>
        <v/>
      </c>
      <c r="X83" s="93" t="str">
        <f t="shared" si="17"/>
        <v/>
      </c>
      <c r="Y83" s="347"/>
      <c r="Z83" s="347"/>
      <c r="AA83" s="347"/>
      <c r="AB83" s="94" t="str">
        <f t="shared" si="18"/>
        <v/>
      </c>
      <c r="AC83" s="118" t="str">
        <f t="shared" si="19"/>
        <v/>
      </c>
      <c r="AD83" s="116" t="str">
        <f t="shared" si="49"/>
        <v/>
      </c>
      <c r="AE83" s="183" t="str">
        <f t="shared" si="50"/>
        <v/>
      </c>
      <c r="AF83" s="114" t="str">
        <f t="shared" si="20"/>
        <v/>
      </c>
      <c r="AG83" s="115" t="str">
        <f>IF(D83="","",VLOOKUP(F83,'9. All Habitats + Multipliers'!$C$4:$K$102,5,FALSE))</f>
        <v/>
      </c>
      <c r="AH83" s="116" t="str">
        <f>IF(AG83="","",VLOOKUP(AG83,'11. Lists'!$B$47:$D$49,2,FALSE))</f>
        <v/>
      </c>
      <c r="AI83" s="115" t="str">
        <f t="shared" si="21"/>
        <v/>
      </c>
      <c r="AJ83" s="485" t="str">
        <f>IF(AI83="","",VLOOKUP(AI83,'11. Lists'!$F$47:$G$51,2,FALSE))</f>
        <v/>
      </c>
      <c r="AK83" s="486"/>
      <c r="AL83" s="486"/>
      <c r="AM83" s="486"/>
      <c r="AN83" s="485" t="str">
        <f t="shared" si="22"/>
        <v/>
      </c>
      <c r="AO83" s="117" t="str">
        <f>IF(AN83="","",VLOOKUP(AN83,'11. Lists'!$F$36:$H$38,2,FALSE))</f>
        <v/>
      </c>
      <c r="AP83" s="116" t="str">
        <f>IF(AN83="","",VLOOKUP(AN83,'11. Lists'!$F$36:$H$38,3,FALSE))</f>
        <v/>
      </c>
      <c r="AQ83" s="115" t="str">
        <f>IF(D83="","",IF(AX83="Distinctiveness","N/A",VLOOKUP(F83,'10. Condition and Temporal'!$B$6:$L$103,11,FALSE)))</f>
        <v/>
      </c>
      <c r="AR83" s="119" t="str">
        <f>IF(AQ83="","",IF(AQ83="N/A","1",VLOOKUP(AQ83,'11. Lists'!$I$47:$K$80,3,FALSE)))</f>
        <v/>
      </c>
      <c r="AS83" s="135" t="str">
        <f>IF(D83="","",IF(AX83="Condition","N/A",VLOOKUP(F83,'10. Condition and Temporal'!$B$6:$M$106,12,FALSE)))</f>
        <v/>
      </c>
      <c r="AT83" s="119" t="str">
        <f>IF(AS83="","",IF(AS83="N/A","1",VLOOKUP(AS83,'11. Lists'!$I$47:$K$80,3,FALSE)))</f>
        <v/>
      </c>
      <c r="AU83" s="118" t="str">
        <f>IF(D83="","",VLOOKUP(F83,'9. All Habitats + Multipliers'!$C$4:$K$102,8,FALSE))</f>
        <v/>
      </c>
      <c r="AV83" s="116" t="str">
        <f>IF(AU83="","",VLOOKUP(AU83,'11. Lists'!$J$35:$K$38,2,FALSE))</f>
        <v/>
      </c>
      <c r="AW83" s="115" t="str">
        <f>IF(D83="","",VLOOKUP(D83,'10. Condition and Temporal'!$B$6:$M$103,4,FALSE))</f>
        <v/>
      </c>
      <c r="AX83" s="467" t="str">
        <f t="shared" si="23"/>
        <v/>
      </c>
      <c r="AY83" s="490" t="str">
        <v>1</v>
      </c>
      <c r="AZ83" s="487"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8" t="str">
        <f t="shared" si="51"/>
        <v/>
      </c>
      <c r="BW83" s="95" t="s">
        <v>183</v>
      </c>
      <c r="BX83" s="95">
        <f>BS64</f>
        <v>0</v>
      </c>
    </row>
    <row r="84" spans="1:76" s="25" customFormat="1" ht="15.75" customHeight="1" x14ac:dyDescent="0.25">
      <c r="B84" s="268">
        <v>19</v>
      </c>
      <c r="C84" s="120" t="str">
        <f t="shared" si="13"/>
        <v/>
      </c>
      <c r="D84" s="212" t="str">
        <f t="shared" si="44"/>
        <v/>
      </c>
      <c r="E84" s="170" t="str">
        <f t="shared" si="14"/>
        <v/>
      </c>
      <c r="F84" s="664"/>
      <c r="G84" s="665"/>
      <c r="H84" s="167" t="str">
        <f t="shared" si="15"/>
        <v/>
      </c>
      <c r="I84" s="321" t="str">
        <f t="shared" si="45"/>
        <v/>
      </c>
      <c r="J84" s="948" t="str">
        <f>IF(F84="","",VLOOKUP(F84,'10. Condition and Temporal'!$B$6:$F$103,5,FALSE))</f>
        <v/>
      </c>
      <c r="K84" s="949"/>
      <c r="L84" s="298" t="str">
        <f t="shared" si="46"/>
        <v/>
      </c>
      <c r="M84" s="942" t="str">
        <f t="shared" si="47"/>
        <v/>
      </c>
      <c r="N84" s="943"/>
      <c r="O84" s="74"/>
      <c r="P84" s="12"/>
      <c r="R84" s="646"/>
      <c r="T84" s="181" t="str">
        <f t="shared" si="16"/>
        <v/>
      </c>
      <c r="U84" s="115" t="str">
        <f t="shared" si="48"/>
        <v/>
      </c>
      <c r="V84" s="116" t="str">
        <f t="shared" si="17"/>
        <v/>
      </c>
      <c r="W84" s="114" t="str">
        <f t="shared" si="17"/>
        <v/>
      </c>
      <c r="X84" s="93" t="str">
        <f t="shared" si="17"/>
        <v/>
      </c>
      <c r="Y84" s="347"/>
      <c r="Z84" s="347"/>
      <c r="AA84" s="347"/>
      <c r="AB84" s="94" t="str">
        <f t="shared" si="18"/>
        <v/>
      </c>
      <c r="AC84" s="118" t="str">
        <f t="shared" si="19"/>
        <v/>
      </c>
      <c r="AD84" s="116" t="str">
        <f t="shared" si="49"/>
        <v/>
      </c>
      <c r="AE84" s="183" t="str">
        <f t="shared" si="50"/>
        <v/>
      </c>
      <c r="AF84" s="114" t="str">
        <f t="shared" si="20"/>
        <v/>
      </c>
      <c r="AG84" s="115" t="str">
        <f>IF(D84="","",VLOOKUP(F84,'9. All Habitats + Multipliers'!$C$4:$K$102,5,FALSE))</f>
        <v/>
      </c>
      <c r="AH84" s="116" t="str">
        <f>IF(AG84="","",VLOOKUP(AG84,'11. Lists'!$B$47:$D$49,2,FALSE))</f>
        <v/>
      </c>
      <c r="AI84" s="115" t="str">
        <f t="shared" si="21"/>
        <v/>
      </c>
      <c r="AJ84" s="485" t="str">
        <f>IF(AI84="","",VLOOKUP(AI84,'11. Lists'!$F$47:$G$51,2,FALSE))</f>
        <v/>
      </c>
      <c r="AK84" s="486"/>
      <c r="AL84" s="486"/>
      <c r="AM84" s="486"/>
      <c r="AN84" s="485" t="str">
        <f t="shared" si="22"/>
        <v/>
      </c>
      <c r="AO84" s="117" t="str">
        <f>IF(AN84="","",VLOOKUP(AN84,'11. Lists'!$F$36:$H$38,2,FALSE))</f>
        <v/>
      </c>
      <c r="AP84" s="116" t="str">
        <f>IF(AN84="","",VLOOKUP(AN84,'11. Lists'!$F$36:$H$38,3,FALSE))</f>
        <v/>
      </c>
      <c r="AQ84" s="115" t="str">
        <f>IF(D84="","",IF(AX84="Distinctiveness","N/A",VLOOKUP(F84,'10. Condition and Temporal'!$B$6:$L$103,11,FALSE)))</f>
        <v/>
      </c>
      <c r="AR84" s="119" t="str">
        <f>IF(AQ84="","",IF(AQ84="N/A","1",VLOOKUP(AQ84,'11. Lists'!$I$47:$K$80,3,FALSE)))</f>
        <v/>
      </c>
      <c r="AS84" s="135" t="str">
        <f>IF(D84="","",IF(AX84="Condition","N/A",VLOOKUP(F84,'10. Condition and Temporal'!$B$6:$M$106,12,FALSE)))</f>
        <v/>
      </c>
      <c r="AT84" s="119" t="str">
        <f>IF(AS84="","",IF(AS84="N/A","1",VLOOKUP(AS84,'11. Lists'!$I$47:$K$80,3,FALSE)))</f>
        <v/>
      </c>
      <c r="AU84" s="118" t="str">
        <f>IF(D84="","",VLOOKUP(F84,'9. All Habitats + Multipliers'!$C$4:$K$102,8,FALSE))</f>
        <v/>
      </c>
      <c r="AV84" s="116" t="str">
        <f>IF(AU84="","",VLOOKUP(AU84,'11. Lists'!$J$35:$K$38,2,FALSE))</f>
        <v/>
      </c>
      <c r="AW84" s="115" t="str">
        <f>IF(D84="","",VLOOKUP(D84,'10. Condition and Temporal'!$B$6:$M$103,4,FALSE))</f>
        <v/>
      </c>
      <c r="AX84" s="467" t="str">
        <f t="shared" si="23"/>
        <v/>
      </c>
      <c r="AY84" s="490" t="str">
        <v>1</v>
      </c>
      <c r="AZ84" s="487"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8" t="str">
        <f t="shared" si="51"/>
        <v/>
      </c>
      <c r="BW84" s="95" t="s">
        <v>184</v>
      </c>
      <c r="BX84" s="95">
        <f>BT64</f>
        <v>0</v>
      </c>
    </row>
    <row r="85" spans="1:76" s="25" customFormat="1" ht="16.5" thickBot="1" x14ac:dyDescent="0.3">
      <c r="B85" s="269">
        <v>20</v>
      </c>
      <c r="C85" s="139" t="str">
        <f t="shared" si="13"/>
        <v/>
      </c>
      <c r="D85" s="428" t="str">
        <f t="shared" si="44"/>
        <v/>
      </c>
      <c r="E85" s="171" t="str">
        <f t="shared" si="14"/>
        <v/>
      </c>
      <c r="F85" s="668"/>
      <c r="G85" s="669"/>
      <c r="H85" s="168" t="str">
        <f t="shared" si="15"/>
        <v/>
      </c>
      <c r="I85" s="432" t="str">
        <f t="shared" si="45"/>
        <v/>
      </c>
      <c r="J85" s="950" t="str">
        <f>IF(F85="","",VLOOKUP(F85,'10. Condition and Temporal'!$B$6:$F$103,5,FALSE))</f>
        <v/>
      </c>
      <c r="K85" s="951"/>
      <c r="L85" s="296" t="str">
        <f t="shared" si="46"/>
        <v/>
      </c>
      <c r="M85" s="939" t="str">
        <f t="shared" si="47"/>
        <v/>
      </c>
      <c r="N85" s="940"/>
      <c r="O85" s="75"/>
      <c r="P85" s="14"/>
      <c r="R85" s="646"/>
      <c r="T85" s="181" t="str">
        <f t="shared" si="16"/>
        <v/>
      </c>
      <c r="U85" s="115" t="str">
        <f t="shared" si="48"/>
        <v/>
      </c>
      <c r="V85" s="116" t="str">
        <f t="shared" si="17"/>
        <v/>
      </c>
      <c r="W85" s="114" t="str">
        <f t="shared" si="17"/>
        <v/>
      </c>
      <c r="X85" s="98" t="str">
        <f t="shared" si="17"/>
        <v/>
      </c>
      <c r="Y85" s="368"/>
      <c r="Z85" s="368"/>
      <c r="AA85" s="368"/>
      <c r="AB85" s="99" t="str">
        <f t="shared" si="18"/>
        <v/>
      </c>
      <c r="AC85" s="118" t="str">
        <f t="shared" si="19"/>
        <v/>
      </c>
      <c r="AD85" s="116" t="str">
        <f t="shared" si="49"/>
        <v/>
      </c>
      <c r="AE85" s="183" t="str">
        <f t="shared" si="50"/>
        <v/>
      </c>
      <c r="AF85" s="114" t="str">
        <f t="shared" si="20"/>
        <v/>
      </c>
      <c r="AG85" s="115" t="str">
        <f>IF(D85="","",VLOOKUP(F85,'9. All Habitats + Multipliers'!$C$4:$K$102,5,FALSE))</f>
        <v/>
      </c>
      <c r="AH85" s="116" t="str">
        <f>IF(AG85="","",VLOOKUP(AG85,'11. Lists'!$B$47:$D$49,2,FALSE))</f>
        <v/>
      </c>
      <c r="AI85" s="115" t="str">
        <f t="shared" si="21"/>
        <v/>
      </c>
      <c r="AJ85" s="485" t="str">
        <f>IF(AI85="","",VLOOKUP(AI85,'11. Lists'!$F$47:$G$51,2,FALSE))</f>
        <v/>
      </c>
      <c r="AK85" s="486"/>
      <c r="AL85" s="486"/>
      <c r="AM85" s="486"/>
      <c r="AN85" s="485" t="str">
        <f t="shared" si="22"/>
        <v/>
      </c>
      <c r="AO85" s="117" t="str">
        <f>IF(AN85="","",VLOOKUP(AN85,'11. Lists'!$F$36:$H$38,2,FALSE))</f>
        <v/>
      </c>
      <c r="AP85" s="116" t="str">
        <f>IF(AN85="","",VLOOKUP(AN85,'11. Lists'!$F$36:$H$38,3,FALSE))</f>
        <v/>
      </c>
      <c r="AQ85" s="115" t="str">
        <f>IF(D85="","",IF(AX85="Distinctiveness","N/A",VLOOKUP(F85,'10. Condition and Temporal'!$B$6:$L$103,11,FALSE)))</f>
        <v/>
      </c>
      <c r="AR85" s="119" t="str">
        <f>IF(AQ85="","",IF(AQ85="N/A","1",VLOOKUP(AQ85,'11. Lists'!$I$47:$K$80,3,FALSE)))</f>
        <v/>
      </c>
      <c r="AS85" s="135" t="str">
        <f>IF(D85="","",IF(AX85="Condition","N/A",VLOOKUP(F85,'10. Condition and Temporal'!$B$6:$M$106,12,FALSE)))</f>
        <v/>
      </c>
      <c r="AT85" s="119" t="str">
        <f>IF(AS85="","",IF(AS85="N/A","1",VLOOKUP(AS85,'11. Lists'!$I$47:$K$80,3,FALSE)))</f>
        <v/>
      </c>
      <c r="AU85" s="118" t="str">
        <f>IF(D85="","",VLOOKUP(F85,'9. All Habitats + Multipliers'!$C$4:$K$102,8,FALSE))</f>
        <v/>
      </c>
      <c r="AV85" s="116" t="str">
        <f>IF(AU85="","",VLOOKUP(AU85,'11. Lists'!$J$35:$K$38,2,FALSE))</f>
        <v/>
      </c>
      <c r="AW85" s="115" t="str">
        <f>IF(D85="","",VLOOKUP(D85,'10. Condition and Temporal'!$B$6:$M$103,4,FALSE))</f>
        <v/>
      </c>
      <c r="AX85" s="467" t="str">
        <f t="shared" si="23"/>
        <v/>
      </c>
      <c r="AY85" s="491" t="str">
        <v>1</v>
      </c>
      <c r="AZ85" s="487"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8" t="str">
        <f t="shared" si="51"/>
        <v/>
      </c>
      <c r="BW85" s="95" t="s">
        <v>185</v>
      </c>
      <c r="BX85" s="95">
        <f>BU64</f>
        <v>0</v>
      </c>
    </row>
    <row r="86" spans="1:76" s="25" customFormat="1" ht="15.75" thickBot="1" x14ac:dyDescent="0.3">
      <c r="H86" s="272" t="s">
        <v>236</v>
      </c>
      <c r="I86" s="326">
        <f>SUM(I66:I85)</f>
        <v>0</v>
      </c>
      <c r="J86" s="422"/>
      <c r="L86" s="430">
        <f>SUM(L66:L85)</f>
        <v>0</v>
      </c>
      <c r="M86" s="690">
        <f>SUM(M66:N85)</f>
        <v>0</v>
      </c>
      <c r="N86" s="691"/>
      <c r="R86" s="646"/>
      <c r="AJ86" s="161"/>
      <c r="AK86" s="161"/>
      <c r="AL86" s="161"/>
      <c r="AM86" s="161"/>
      <c r="AN86" s="161"/>
    </row>
    <row r="87" spans="1:76" s="25" customFormat="1" x14ac:dyDescent="0.25">
      <c r="C87" s="26"/>
      <c r="R87" s="646"/>
      <c r="AJ87" s="161"/>
      <c r="AK87" s="161"/>
      <c r="AL87" s="161"/>
      <c r="AM87" s="161"/>
      <c r="AN87" s="161"/>
    </row>
    <row r="88" spans="1:76" s="25" customFormat="1" x14ac:dyDescent="0.25">
      <c r="R88" s="646"/>
      <c r="AJ88" s="161"/>
      <c r="AK88" s="161"/>
      <c r="AL88" s="161"/>
      <c r="AM88" s="161"/>
      <c r="AN88" s="161"/>
    </row>
    <row r="89" spans="1:76" s="25" customFormat="1" ht="19.149999999999999" customHeight="1" x14ac:dyDescent="0.25">
      <c r="R89" s="646"/>
      <c r="AJ89" s="161"/>
      <c r="AK89" s="161"/>
      <c r="AL89" s="161"/>
      <c r="AM89" s="161"/>
      <c r="AN89" s="161"/>
    </row>
    <row r="90" spans="1:76" s="25" customFormat="1" x14ac:dyDescent="0.25">
      <c r="R90" s="646"/>
      <c r="AJ90" s="161"/>
      <c r="AK90" s="161"/>
      <c r="AL90" s="161"/>
      <c r="AM90" s="161"/>
      <c r="AN90" s="161"/>
    </row>
    <row r="91" spans="1:76" s="25" customFormat="1" x14ac:dyDescent="0.25">
      <c r="A91" s="724" t="s">
        <v>200</v>
      </c>
      <c r="B91" s="724"/>
      <c r="C91" s="724"/>
      <c r="D91" s="724"/>
      <c r="E91" s="724"/>
      <c r="F91" s="724"/>
      <c r="G91" s="724"/>
      <c r="H91" s="724"/>
      <c r="I91" s="724"/>
      <c r="J91" s="724"/>
      <c r="K91" s="724"/>
      <c r="L91" s="724"/>
      <c r="M91" s="724"/>
      <c r="N91" s="724"/>
      <c r="O91" s="724"/>
      <c r="P91" s="724"/>
      <c r="Q91" s="724"/>
      <c r="R91" s="646"/>
      <c r="AJ91" s="161"/>
      <c r="AK91" s="161"/>
      <c r="AL91" s="161"/>
      <c r="AM91" s="161"/>
      <c r="AN91" s="161"/>
    </row>
    <row r="92" spans="1:76" s="25" customFormat="1" x14ac:dyDescent="0.25">
      <c r="A92" s="724"/>
      <c r="B92" s="724"/>
      <c r="C92" s="724"/>
      <c r="D92" s="724"/>
      <c r="E92" s="724"/>
      <c r="F92" s="724"/>
      <c r="G92" s="724"/>
      <c r="H92" s="724"/>
      <c r="I92" s="724"/>
      <c r="J92" s="724"/>
      <c r="K92" s="724"/>
      <c r="L92" s="724"/>
      <c r="M92" s="724"/>
      <c r="N92" s="724"/>
      <c r="O92" s="724"/>
      <c r="P92" s="724"/>
      <c r="Q92" s="724"/>
      <c r="R92" s="646"/>
      <c r="AJ92" s="161"/>
      <c r="AK92" s="161"/>
      <c r="AL92" s="161"/>
      <c r="AM92" s="161"/>
      <c r="AN92" s="161"/>
    </row>
    <row r="93" spans="1:76" s="25" customFormat="1" x14ac:dyDescent="0.25">
      <c r="A93" s="724"/>
      <c r="B93" s="724"/>
      <c r="C93" s="724"/>
      <c r="D93" s="724"/>
      <c r="E93" s="724"/>
      <c r="F93" s="724"/>
      <c r="G93" s="724"/>
      <c r="H93" s="724"/>
      <c r="I93" s="724"/>
      <c r="J93" s="724"/>
      <c r="K93" s="724"/>
      <c r="L93" s="724"/>
      <c r="M93" s="724"/>
      <c r="N93" s="724"/>
      <c r="O93" s="724"/>
      <c r="P93" s="724"/>
      <c r="Q93" s="724"/>
      <c r="R93" s="646"/>
      <c r="AJ93" s="161"/>
      <c r="AK93" s="161"/>
      <c r="AL93" s="161"/>
      <c r="AM93" s="161"/>
      <c r="AN93" s="161"/>
    </row>
    <row r="94" spans="1:76" s="25" customFormat="1" x14ac:dyDescent="0.25">
      <c r="R94" s="646"/>
      <c r="AJ94" s="161"/>
      <c r="AK94" s="161"/>
      <c r="AL94" s="161"/>
      <c r="AM94" s="161"/>
      <c r="AN94" s="161"/>
    </row>
    <row r="95" spans="1:76" s="25" customFormat="1" ht="21" x14ac:dyDescent="0.35">
      <c r="C95" s="57" t="s">
        <v>201</v>
      </c>
      <c r="D95" s="26"/>
      <c r="E95" s="26"/>
      <c r="F95" s="26"/>
      <c r="G95" s="26"/>
      <c r="R95" s="646"/>
      <c r="AJ95" s="161"/>
      <c r="AK95" s="161"/>
      <c r="AL95" s="161"/>
      <c r="AM95" s="161"/>
      <c r="AN95" s="161"/>
    </row>
    <row r="96" spans="1:76" s="25" customFormat="1" ht="15.75" thickBot="1" x14ac:dyDescent="0.3">
      <c r="R96" s="646"/>
      <c r="AJ96" s="161"/>
      <c r="AK96" s="161"/>
      <c r="AL96" s="161"/>
      <c r="AM96" s="161"/>
      <c r="AN96" s="161"/>
    </row>
    <row r="97" spans="3:40" s="25" customFormat="1" ht="36.6" customHeight="1" thickBot="1" x14ac:dyDescent="0.3">
      <c r="C97" s="864" t="s">
        <v>241</v>
      </c>
      <c r="D97" s="866"/>
      <c r="E97" s="867" t="str" cm="1">
        <f t="array" aca="1" ref="E97" ca="1">IF(OR(I103:I106="No ▲"),"Error - Trading Rules Not Satisfied ▲","Trading Rules Satisfied ✓")</f>
        <v>Trading Rules Satisfied ✓</v>
      </c>
      <c r="F97" s="867"/>
      <c r="G97" s="867"/>
      <c r="H97" s="867"/>
      <c r="I97" s="868"/>
      <c r="J97" s="161">
        <f ca="1">IFERROR(FIND("Error",E97),0)</f>
        <v>0</v>
      </c>
      <c r="R97" s="646"/>
      <c r="AJ97" s="161"/>
      <c r="AK97" s="161"/>
      <c r="AL97" s="161"/>
      <c r="AM97" s="161"/>
      <c r="AN97" s="161"/>
    </row>
    <row r="98" spans="3:40" s="25" customFormat="1" x14ac:dyDescent="0.25">
      <c r="R98" s="646"/>
      <c r="AJ98" s="161"/>
      <c r="AK98" s="161"/>
      <c r="AL98" s="161"/>
      <c r="AM98" s="161"/>
      <c r="AN98" s="161"/>
    </row>
    <row r="99" spans="3:40" s="25" customFormat="1" ht="21" x14ac:dyDescent="0.35">
      <c r="C99" s="57" t="s">
        <v>204</v>
      </c>
      <c r="R99" s="646"/>
      <c r="AJ99" s="161"/>
      <c r="AK99" s="161"/>
      <c r="AL99" s="161"/>
      <c r="AM99" s="161"/>
      <c r="AN99" s="161"/>
    </row>
    <row r="100" spans="3:40" s="25" customFormat="1" x14ac:dyDescent="0.25">
      <c r="R100" s="646"/>
      <c r="AJ100" s="161"/>
      <c r="AK100" s="161"/>
      <c r="AL100" s="161"/>
      <c r="AM100" s="161"/>
      <c r="AN100" s="161"/>
    </row>
    <row r="101" spans="3:40" s="25" customFormat="1" ht="15.75" thickBot="1" x14ac:dyDescent="0.3">
      <c r="J101" s="438"/>
      <c r="R101" s="646"/>
      <c r="AJ101" s="161"/>
      <c r="AK101" s="161"/>
      <c r="AL101" s="161"/>
      <c r="AM101" s="161"/>
      <c r="AN101" s="161"/>
    </row>
    <row r="102" spans="3:40" s="25" customFormat="1" ht="40.5" customHeight="1" thickBot="1" x14ac:dyDescent="0.3">
      <c r="C102" s="458" t="s">
        <v>142</v>
      </c>
      <c r="D102" s="448" t="s">
        <v>94</v>
      </c>
      <c r="E102" s="448" t="s">
        <v>267</v>
      </c>
      <c r="F102" s="448" t="s">
        <v>207</v>
      </c>
      <c r="G102" s="448" t="s">
        <v>208</v>
      </c>
      <c r="H102" s="448" t="s">
        <v>209</v>
      </c>
      <c r="I102" s="449" t="s">
        <v>210</v>
      </c>
      <c r="J102" s="439"/>
      <c r="R102" s="646"/>
      <c r="AJ102" s="161"/>
      <c r="AK102" s="161"/>
      <c r="AL102" s="161"/>
      <c r="AM102" s="161"/>
      <c r="AN102" s="161"/>
    </row>
    <row r="103" spans="3:40" s="25" customFormat="1" ht="30" customHeight="1" x14ac:dyDescent="0.25">
      <c r="C103" s="969" t="s">
        <v>261</v>
      </c>
      <c r="D103" s="917" t="s">
        <v>224</v>
      </c>
      <c r="E103" s="450" t="s">
        <v>268</v>
      </c>
      <c r="F103" s="451">
        <f ca="1">SUMIF($D$11:$E$30, $E$103, $L$11:$L$30)</f>
        <v>0</v>
      </c>
      <c r="G103" s="451">
        <f>IF($I$59+$I$86+$P$1=0,0,SUMIF($D$39:$D$58,$E$103,$L$39:$N$58)+SUMIF($F$66:$G$85,$E$103,$L$66:$L$85)+SUMIF($D$11:$E$30,$E$103,$AE$11:$AE$30))</f>
        <v>0</v>
      </c>
      <c r="H103" s="451">
        <f ca="1">$G$103-$F$103</f>
        <v>0</v>
      </c>
      <c r="I103" s="848" t="str">
        <f ca="1">IF(AND($H$103&gt;=0, H104&gt;=0),"Yes ✓", "No ▲")</f>
        <v>Yes ✓</v>
      </c>
      <c r="J103" s="439"/>
      <c r="R103" s="646"/>
      <c r="AJ103" s="161"/>
      <c r="AK103" s="161"/>
      <c r="AL103" s="161"/>
      <c r="AM103" s="161"/>
      <c r="AN103" s="161"/>
    </row>
    <row r="104" spans="3:40" s="25" customFormat="1" ht="30" customHeight="1" x14ac:dyDescent="0.25">
      <c r="C104" s="970"/>
      <c r="D104" s="908"/>
      <c r="E104" s="436" t="s">
        <v>269</v>
      </c>
      <c r="F104" s="437">
        <f ca="1">SUMIF($D$11:$E$30,$E$104,$L$11:$L$30)</f>
        <v>0</v>
      </c>
      <c r="G104" s="437">
        <f>IF($I$59+$I$86+$P$1=0,0,SUMIF($D$39:$D$58,$E$104,$L$39:$N$58)+SUMIF($F$66:$G$85,$E$104,$L$66:$L$85)+SUMIF($D$11:$E$30,$E$104,$AE$11:$AE$30))</f>
        <v>0</v>
      </c>
      <c r="H104" s="437">
        <f ca="1">$G$104-$F$104</f>
        <v>0</v>
      </c>
      <c r="I104" s="849"/>
      <c r="J104" s="439"/>
      <c r="R104" s="646"/>
      <c r="AJ104" s="161"/>
      <c r="AK104" s="161"/>
      <c r="AL104" s="161"/>
      <c r="AM104" s="161"/>
      <c r="AN104" s="161"/>
    </row>
    <row r="105" spans="3:40" s="25" customFormat="1" ht="30" customHeight="1" thickBot="1" x14ac:dyDescent="0.3">
      <c r="C105" s="970"/>
      <c r="D105" s="910"/>
      <c r="E105" s="452" t="s">
        <v>247</v>
      </c>
      <c r="F105" s="453">
        <f ca="1">SUM(F103:F104)</f>
        <v>0</v>
      </c>
      <c r="G105" s="453">
        <f>SUM(G103:G104)</f>
        <v>0</v>
      </c>
      <c r="H105" s="453">
        <f ca="1">SUM($H$103:$H$104)</f>
        <v>0</v>
      </c>
      <c r="I105" s="850"/>
      <c r="J105" s="161">
        <f ca="1">IF($I$103= "No ▲",1,0)</f>
        <v>0</v>
      </c>
      <c r="R105" s="646"/>
      <c r="AJ105" s="161"/>
      <c r="AK105" s="161"/>
      <c r="AL105" s="161"/>
      <c r="AM105" s="161"/>
      <c r="AN105" s="161"/>
    </row>
    <row r="106" spans="3:40" s="25" customFormat="1" ht="30" customHeight="1" thickBot="1" x14ac:dyDescent="0.3">
      <c r="C106" s="971"/>
      <c r="D106" s="454" t="s">
        <v>225</v>
      </c>
      <c r="E106" s="455" t="s">
        <v>270</v>
      </c>
      <c r="F106" s="456">
        <f ca="1">SUMIF($D$11:$E$30,$E$106,$L$11:$L$30)</f>
        <v>0</v>
      </c>
      <c r="G106" s="456">
        <f>IF($I$59+$I$86+$P$1=0,0,SUMIF($D$39:$D$58,$E$106,$L$39:$N$58)+SUMIF($F$66:$G$85,$E$106,$L$66:$L$85)+SUMIF($D$11:$E$30,$E$106,$AE$11:$AE$30))</f>
        <v>0</v>
      </c>
      <c r="H106" s="456">
        <f ca="1">$G$106-$F$106</f>
        <v>0</v>
      </c>
      <c r="I106" s="457" t="str">
        <f ca="1">IF($G$107&gt;=0,"Yes ✓", "No ▲")</f>
        <v>Yes ✓</v>
      </c>
      <c r="J106" s="161">
        <f ca="1">IF($I$106= "No ▲",1,0)</f>
        <v>0</v>
      </c>
      <c r="R106" s="646"/>
      <c r="AJ106" s="161"/>
      <c r="AK106" s="161"/>
      <c r="AL106" s="161"/>
      <c r="AM106" s="161"/>
      <c r="AN106" s="161"/>
    </row>
    <row r="107" spans="3:40" s="25" customFormat="1" ht="12" customHeight="1" thickBot="1" x14ac:dyDescent="0.3">
      <c r="G107" s="442">
        <f ca="1">IF(H105&gt;0,($H$105+$H$106),H106)</f>
        <v>0</v>
      </c>
      <c r="J107" s="438"/>
      <c r="R107" s="646"/>
      <c r="AJ107" s="161"/>
      <c r="AK107" s="161"/>
      <c r="AL107" s="161"/>
      <c r="AM107" s="161"/>
      <c r="AN107" s="161"/>
    </row>
    <row r="108" spans="3:40" s="25" customFormat="1" ht="18.75" x14ac:dyDescent="0.3">
      <c r="C108" s="820" t="s">
        <v>271</v>
      </c>
      <c r="D108" s="968"/>
      <c r="E108" s="968"/>
      <c r="F108" s="968"/>
      <c r="G108" s="445">
        <f ca="1">$H$105</f>
        <v>0</v>
      </c>
      <c r="H108" s="439"/>
      <c r="J108" s="438"/>
      <c r="R108" s="646"/>
      <c r="AJ108" s="161"/>
      <c r="AK108" s="161"/>
      <c r="AL108" s="161"/>
      <c r="AM108" s="161"/>
      <c r="AN108" s="161"/>
    </row>
    <row r="109" spans="3:40" s="25" customFormat="1" ht="19.5" thickBot="1" x14ac:dyDescent="0.3">
      <c r="C109" s="910" t="s">
        <v>272</v>
      </c>
      <c r="D109" s="628"/>
      <c r="E109" s="628"/>
      <c r="F109" s="628"/>
      <c r="G109" s="446">
        <f ca="1">IF($H$105&lt;=0,$H$106,($H$106+$H$105))</f>
        <v>0</v>
      </c>
      <c r="R109" s="646"/>
      <c r="AJ109" s="161"/>
      <c r="AK109" s="161"/>
      <c r="AL109" s="161"/>
      <c r="AM109" s="161"/>
      <c r="AN109" s="161"/>
    </row>
    <row r="110" spans="3:40" s="25" customFormat="1" x14ac:dyDescent="0.25">
      <c r="R110" s="646"/>
      <c r="AJ110" s="161"/>
      <c r="AK110" s="161"/>
      <c r="AL110" s="161"/>
      <c r="AM110" s="161"/>
      <c r="AN110" s="161"/>
    </row>
    <row r="111" spans="3:40" s="25" customFormat="1" x14ac:dyDescent="0.25">
      <c r="R111" s="646"/>
      <c r="AJ111" s="161"/>
      <c r="AK111" s="161"/>
      <c r="AL111" s="161"/>
      <c r="AM111" s="161"/>
      <c r="AN111" s="161"/>
    </row>
    <row r="112" spans="3:40" s="25" customFormat="1" x14ac:dyDescent="0.25">
      <c r="R112" s="646"/>
      <c r="AJ112" s="161"/>
      <c r="AK112" s="161"/>
      <c r="AL112" s="161"/>
      <c r="AM112" s="161"/>
      <c r="AN112" s="161"/>
    </row>
    <row r="113" spans="18:40" s="25" customFormat="1" x14ac:dyDescent="0.25">
      <c r="R113" s="646"/>
      <c r="AJ113" s="161"/>
      <c r="AK113" s="161"/>
      <c r="AL113" s="161"/>
      <c r="AM113" s="161"/>
      <c r="AN113" s="161"/>
    </row>
    <row r="114" spans="18:40" s="25" customFormat="1" x14ac:dyDescent="0.25">
      <c r="R114" s="646"/>
      <c r="AJ114" s="161"/>
      <c r="AK114" s="161"/>
      <c r="AL114" s="161"/>
      <c r="AM114" s="161"/>
      <c r="AN114" s="161"/>
    </row>
    <row r="115" spans="18:40" s="25" customFormat="1" x14ac:dyDescent="0.25">
      <c r="R115" s="646"/>
      <c r="AJ115" s="161"/>
      <c r="AK115" s="161"/>
      <c r="AL115" s="161"/>
      <c r="AM115" s="161"/>
      <c r="AN115" s="161"/>
    </row>
    <row r="116" spans="18:40" s="25" customFormat="1" x14ac:dyDescent="0.25">
      <c r="R116" s="646"/>
      <c r="AJ116" s="161"/>
      <c r="AK116" s="161"/>
      <c r="AL116" s="161"/>
      <c r="AM116" s="161"/>
      <c r="AN116" s="161"/>
    </row>
    <row r="117" spans="18:40" s="25" customFormat="1" x14ac:dyDescent="0.25">
      <c r="R117" s="646"/>
      <c r="AJ117" s="161"/>
      <c r="AK117" s="161"/>
      <c r="AL117" s="161"/>
      <c r="AM117" s="161"/>
      <c r="AN117" s="161"/>
    </row>
    <row r="118" spans="18:40" s="25" customFormat="1" x14ac:dyDescent="0.25">
      <c r="R118" s="646"/>
      <c r="AJ118" s="161"/>
      <c r="AK118" s="161"/>
      <c r="AL118" s="161"/>
      <c r="AM118" s="161"/>
      <c r="AN118" s="161"/>
    </row>
    <row r="119" spans="18:40" s="25" customFormat="1" x14ac:dyDescent="0.25">
      <c r="R119" s="646"/>
      <c r="AJ119" s="161"/>
      <c r="AK119" s="161"/>
      <c r="AL119" s="161"/>
      <c r="AM119" s="161"/>
      <c r="AN119" s="161"/>
    </row>
    <row r="120" spans="18:40" s="25" customFormat="1" x14ac:dyDescent="0.25">
      <c r="R120" s="646"/>
      <c r="AJ120" s="161"/>
      <c r="AK120" s="161"/>
      <c r="AL120" s="161"/>
      <c r="AM120" s="161"/>
      <c r="AN120" s="161"/>
    </row>
    <row r="121" spans="18:40" s="25" customFormat="1" x14ac:dyDescent="0.25">
      <c r="R121" s="646"/>
      <c r="AJ121" s="161"/>
      <c r="AK121" s="161"/>
      <c r="AL121" s="161"/>
      <c r="AM121" s="161"/>
      <c r="AN121" s="161"/>
    </row>
    <row r="122" spans="18:40" s="25" customFormat="1" x14ac:dyDescent="0.25">
      <c r="R122" s="646"/>
      <c r="AJ122" s="161"/>
      <c r="AK122" s="161"/>
      <c r="AL122" s="161"/>
      <c r="AM122" s="161"/>
      <c r="AN122" s="161"/>
    </row>
    <row r="123" spans="18:40" s="25" customFormat="1" x14ac:dyDescent="0.25">
      <c r="R123" s="646"/>
      <c r="AJ123" s="161"/>
      <c r="AK123" s="161"/>
      <c r="AL123" s="161"/>
      <c r="AM123" s="161"/>
      <c r="AN123" s="161"/>
    </row>
    <row r="124" spans="18:40" s="25" customFormat="1" x14ac:dyDescent="0.25">
      <c r="R124" s="646"/>
      <c r="AJ124" s="161"/>
      <c r="AK124" s="161"/>
      <c r="AL124" s="161"/>
      <c r="AM124" s="161"/>
      <c r="AN124" s="161"/>
    </row>
    <row r="125" spans="18:40" s="25" customFormat="1" x14ac:dyDescent="0.25">
      <c r="R125" s="646"/>
      <c r="AJ125" s="161"/>
      <c r="AK125" s="161"/>
      <c r="AL125" s="161"/>
      <c r="AM125" s="161"/>
      <c r="AN125" s="161"/>
    </row>
    <row r="126" spans="18:40" s="25" customFormat="1" x14ac:dyDescent="0.25">
      <c r="R126" s="646"/>
      <c r="AJ126" s="161"/>
      <c r="AK126" s="161"/>
      <c r="AL126" s="161"/>
      <c r="AM126" s="161"/>
      <c r="AN126" s="161"/>
    </row>
    <row r="127" spans="18:40" s="25" customFormat="1" x14ac:dyDescent="0.25">
      <c r="R127" s="646"/>
      <c r="AJ127" s="161"/>
      <c r="AK127" s="161"/>
      <c r="AL127" s="161"/>
      <c r="AM127" s="161"/>
      <c r="AN127" s="161"/>
    </row>
    <row r="128" spans="18:40" s="25" customFormat="1" x14ac:dyDescent="0.25">
      <c r="R128" s="646"/>
      <c r="AJ128" s="161"/>
      <c r="AK128" s="161"/>
      <c r="AL128" s="161"/>
      <c r="AM128" s="161"/>
      <c r="AN128" s="161"/>
    </row>
    <row r="129" spans="18:40" s="25" customFormat="1" x14ac:dyDescent="0.25">
      <c r="R129" s="646"/>
      <c r="AJ129" s="161"/>
      <c r="AK129" s="161"/>
      <c r="AL129" s="161"/>
      <c r="AM129" s="161"/>
      <c r="AN129" s="161"/>
    </row>
    <row r="130" spans="18:40" s="25" customFormat="1" x14ac:dyDescent="0.25">
      <c r="R130" s="646"/>
      <c r="AJ130" s="161"/>
      <c r="AK130" s="161"/>
      <c r="AL130" s="161"/>
      <c r="AM130" s="161"/>
      <c r="AN130" s="161"/>
    </row>
    <row r="131" spans="18:40" x14ac:dyDescent="0.25"/>
    <row r="132" spans="18:40" x14ac:dyDescent="0.25"/>
    <row r="133" spans="18:40" x14ac:dyDescent="0.25"/>
    <row r="134" spans="18:40" x14ac:dyDescent="0.25"/>
    <row r="135" spans="18:40" x14ac:dyDescent="0.25"/>
    <row r="136" spans="18:40" x14ac:dyDescent="0.25"/>
    <row r="137" spans="18:40" x14ac:dyDescent="0.25"/>
    <row r="138" spans="18:40" x14ac:dyDescent="0.25"/>
    <row r="139" spans="18:40" x14ac:dyDescent="0.25"/>
    <row r="140" spans="18:40" x14ac:dyDescent="0.25"/>
  </sheetData>
  <sheetProtection algorithmName="SHA-512" hashValue="1JoYOSV7sLaVIDae8VjKdYOA77BzY7XVw1XSFHdYYBO610uF5GmLvl0/Od66d+IGXGX9IIgGcvh7ayGppNVJwQ==" saltValue="1nRNyw+wehPhDY/5tOUpPQ=="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E66:E85">
    <cfRule type="cellIs" dxfId="77" priority="56" operator="equal">
      <formula>"Enhancement not possible"</formula>
    </cfRule>
  </conditionalFormatting>
  <conditionalFormatting sqref="E97">
    <cfRule type="containsText" dxfId="76" priority="127" operator="containsText" text="Error - Trading Rules Not Satisfied">
      <formula>NOT(ISERROR(SEARCH("Error - Trading Rules Not Satisfied",E97)))</formula>
    </cfRule>
    <cfRule type="containsText" dxfId="75" priority="126" operator="containsText" text="Trading Rules Satisfied">
      <formula>NOT(ISERROR(SEARCH("Trading Rules Satisfied",E97)))</formula>
    </cfRule>
  </conditionalFormatting>
  <conditionalFormatting sqref="F39:F58">
    <cfRule type="containsBlanks" dxfId="74" priority="79" stopIfTrue="1">
      <formula>LEN(TRIM(F39))=0</formula>
    </cfRule>
    <cfRule type="expression" dxfId="73" priority="80">
      <formula>ISNUMBER(SEARCH(F39,E39,1))</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cellIs" dxfId="57" priority="98" operator="equal">
      <formula>"Any loss Unacceptable"</formula>
    </cfRule>
    <cfRule type="expression" dxfId="56" priority="100">
      <formula>"p18=""Avoid"""</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1" operator="equal">
      <formula>"Unacceptable Loss"</formula>
    </cfRule>
    <cfRule type="cellIs" dxfId="51" priority="20" operator="equal">
      <formula>"Alternative Compensation"</formula>
    </cfRule>
  </conditionalFormatting>
  <conditionalFormatting sqref="L66:M85">
    <cfRule type="cellIs" dxfId="50" priority="11" operator="equal">
      <formula>"Compensation Agreed"</formula>
    </cfRule>
    <cfRule type="cellIs" dxfId="49" priority="10" operator="equal">
      <formula>"Unacceptable Loss"</formula>
    </cfRule>
    <cfRule type="cellIs" dxfId="48" priority="9" operator="equal">
      <formula>"Alternative Compensation"</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ontainsText" dxfId="41" priority="32" operator="containsText" text="▲">
      <formula>NOT(ISERROR(SEARCH("▲",N11)))</formula>
    </cfRule>
    <cfRule type="cellIs" dxfId="40" priority="34" operator="equal">
      <formula>"Alternative Compensation"</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70" zoomScaleNormal="70" workbookViewId="0">
      <selection sqref="A1:F31"/>
    </sheetView>
  </sheetViews>
  <sheetFormatPr defaultColWidth="0" defaultRowHeight="15.75" zeroHeight="1" x14ac:dyDescent="0.25"/>
  <cols>
    <col min="1" max="1" width="14.28515625" customWidth="1"/>
    <col min="2" max="2" width="30.5703125" customWidth="1"/>
    <col min="3" max="3" width="45.28515625" customWidth="1"/>
    <col min="4" max="4" width="76.42578125" customWidth="1"/>
    <col min="5" max="5" width="13" bestFit="1" customWidth="1"/>
    <col min="6" max="6" width="19.5703125" style="503" customWidth="1"/>
    <col min="7" max="7" width="29.28515625" hidden="1" customWidth="1"/>
    <col min="8" max="9" width="10.7109375" hidden="1" customWidth="1"/>
    <col min="10" max="10" width="15" hidden="1" customWidth="1"/>
    <col min="11" max="11" width="10.28515625" hidden="1" customWidth="1"/>
    <col min="12" max="16" width="8.7109375" hidden="1" customWidth="1"/>
    <col min="17" max="17" width="11.5703125" hidden="1" customWidth="1"/>
    <col min="18" max="18" width="8.7109375" hidden="1" customWidth="1"/>
    <col min="19" max="19" width="11.28515625" hidden="1" customWidth="1"/>
    <col min="20" max="24" width="8.7109375" hidden="1" customWidth="1"/>
    <col min="25" max="32" width="0" hidden="1" customWidth="1"/>
    <col min="33" max="16384" width="8.7109375" hidden="1"/>
  </cols>
  <sheetData>
    <row r="1" spans="1:24" ht="16.5" thickBot="1" x14ac:dyDescent="0.3">
      <c r="A1" s="25"/>
      <c r="B1" s="25"/>
      <c r="C1" s="25"/>
      <c r="D1" s="25"/>
      <c r="E1" s="25"/>
      <c r="F1" s="498"/>
      <c r="G1" s="25"/>
      <c r="H1" s="25"/>
      <c r="I1" s="25"/>
      <c r="J1" s="25"/>
      <c r="K1" s="25"/>
      <c r="L1" s="25"/>
      <c r="M1" s="25"/>
      <c r="N1" s="25"/>
      <c r="O1" s="25"/>
      <c r="P1" s="25"/>
      <c r="Q1" s="25"/>
      <c r="R1" s="25"/>
      <c r="S1" s="25"/>
      <c r="T1" s="25"/>
      <c r="U1" s="25"/>
      <c r="V1" s="25"/>
      <c r="W1" s="25"/>
      <c r="X1" s="25"/>
    </row>
    <row r="2" spans="1:24" ht="24.6" customHeight="1" x14ac:dyDescent="0.3">
      <c r="A2" s="25"/>
      <c r="B2" s="640" t="s">
        <v>65</v>
      </c>
      <c r="C2" s="641"/>
      <c r="D2" s="630" t="str">
        <f>IF('2. Site Details'!D4="","Enter site name on 2. Site Details",'2. Site Details'!D4)</f>
        <v>Land to the Rear of 292 Henley Road, Reading</v>
      </c>
      <c r="E2" s="631"/>
      <c r="F2" s="505"/>
      <c r="G2" s="52"/>
      <c r="H2" s="52"/>
      <c r="I2" s="52"/>
      <c r="J2" s="52"/>
      <c r="K2" s="52"/>
      <c r="L2" s="52"/>
      <c r="M2" s="52"/>
      <c r="N2" s="52"/>
      <c r="O2" s="52"/>
      <c r="P2" s="52"/>
      <c r="Q2" s="52"/>
      <c r="R2" s="52"/>
      <c r="S2" s="52"/>
      <c r="T2" s="52"/>
      <c r="U2" s="52"/>
      <c r="V2" s="52"/>
      <c r="W2" s="52"/>
      <c r="X2" s="25"/>
    </row>
    <row r="3" spans="1:24" ht="24.6" customHeight="1" thickBot="1" x14ac:dyDescent="0.35">
      <c r="A3" s="25"/>
      <c r="B3" s="638" t="s">
        <v>16</v>
      </c>
      <c r="C3" s="639"/>
      <c r="D3" s="628" t="s">
        <v>273</v>
      </c>
      <c r="E3" s="629"/>
      <c r="F3" s="499"/>
      <c r="G3" s="52"/>
      <c r="H3" s="986"/>
      <c r="I3" s="986"/>
      <c r="J3" s="986"/>
      <c r="K3" s="986"/>
      <c r="L3" s="986"/>
      <c r="M3" s="986"/>
      <c r="N3" s="986"/>
      <c r="O3" s="986"/>
      <c r="P3" s="52"/>
      <c r="Q3" s="52"/>
      <c r="R3" s="52"/>
      <c r="S3" s="52"/>
      <c r="T3" s="52"/>
      <c r="U3" s="52"/>
      <c r="V3" s="52"/>
      <c r="W3" s="52"/>
      <c r="X3" s="25"/>
    </row>
    <row r="4" spans="1:24" ht="34.15" customHeight="1" thickBot="1" x14ac:dyDescent="0.3">
      <c r="A4" s="25"/>
      <c r="B4" s="56" t="s">
        <v>273</v>
      </c>
      <c r="C4" s="25"/>
      <c r="D4" s="25"/>
      <c r="E4" s="25"/>
      <c r="F4" s="499"/>
      <c r="G4" s="52"/>
      <c r="H4" s="52"/>
      <c r="I4" s="52"/>
      <c r="J4" s="52"/>
      <c r="K4" s="52"/>
      <c r="L4" s="52"/>
      <c r="M4" s="52"/>
      <c r="N4" s="52"/>
      <c r="O4" s="52"/>
      <c r="P4" s="52"/>
      <c r="Q4" s="52"/>
      <c r="R4" s="52"/>
      <c r="S4" s="52"/>
      <c r="T4" s="52"/>
      <c r="U4" s="52"/>
      <c r="V4" s="52"/>
      <c r="W4" s="52"/>
      <c r="X4" s="25"/>
    </row>
    <row r="5" spans="1:24" ht="24.6" customHeight="1" thickBot="1" x14ac:dyDescent="0.3">
      <c r="A5" s="25"/>
      <c r="B5" s="622" t="s">
        <v>274</v>
      </c>
      <c r="C5" s="995"/>
      <c r="D5" s="981" t="str">
        <f>IF(OR(D27&gt;0,D28&gt;0,D29&gt;0),"BNG Targets Not Met ▲","BNG Targets Met ✓")</f>
        <v>BNG Targets Not Met ▲</v>
      </c>
      <c r="E5" s="868"/>
      <c r="F5" s="499"/>
      <c r="G5" s="52"/>
      <c r="H5" s="52"/>
      <c r="I5" s="52"/>
      <c r="J5" s="52"/>
      <c r="K5" s="52"/>
      <c r="L5" s="52"/>
      <c r="M5" s="52"/>
      <c r="N5" s="52"/>
      <c r="O5" s="52"/>
      <c r="P5" s="52"/>
      <c r="Q5" s="52"/>
      <c r="R5" s="52"/>
      <c r="S5" s="52"/>
      <c r="T5" s="52"/>
      <c r="U5" s="52"/>
      <c r="V5" s="52"/>
      <c r="W5" s="52"/>
      <c r="X5" s="25"/>
    </row>
    <row r="6" spans="1:24" ht="24.6" customHeight="1" thickBot="1" x14ac:dyDescent="0.35">
      <c r="A6" s="25"/>
      <c r="B6" s="25"/>
      <c r="C6" s="25"/>
      <c r="D6" s="169"/>
      <c r="E6" s="169"/>
      <c r="F6" s="499"/>
      <c r="G6" s="52"/>
      <c r="H6" s="52"/>
      <c r="I6" s="52"/>
      <c r="J6" s="52"/>
      <c r="K6" s="52"/>
      <c r="L6" s="52"/>
      <c r="M6" s="52"/>
      <c r="N6" s="52"/>
      <c r="O6" s="52"/>
      <c r="P6" s="52"/>
      <c r="Q6" s="52"/>
      <c r="R6" s="52"/>
      <c r="S6" s="52"/>
      <c r="T6" s="52"/>
      <c r="U6" s="52"/>
      <c r="V6" s="52"/>
      <c r="W6" s="52"/>
      <c r="X6" s="25"/>
    </row>
    <row r="7" spans="1:24" ht="24.6" customHeight="1" thickBot="1" x14ac:dyDescent="0.3">
      <c r="A7" s="25"/>
      <c r="B7" s="622" t="s">
        <v>275</v>
      </c>
      <c r="C7" s="623"/>
      <c r="D7" s="978" t="str">
        <f ca="1">IF('5. Area Habitats'!J108+'5. Area Habitats'!J109+'6. Hedges &amp; Lines of Trees'!J97+'7. Watercourses'!J97&gt;0,"Trading Rules Not Satisfied ▲","Trading Rules Satisfied ✓")</f>
        <v>Trading Rules Not Satisfied ▲</v>
      </c>
      <c r="E7" s="979"/>
      <c r="F7" s="506"/>
      <c r="G7" s="387"/>
      <c r="H7" s="388"/>
      <c r="I7" s="389"/>
      <c r="J7" s="52"/>
      <c r="K7" s="52"/>
      <c r="L7" s="52"/>
      <c r="M7" s="52"/>
      <c r="N7" s="52"/>
      <c r="O7" s="52"/>
      <c r="P7" s="52"/>
      <c r="Q7" s="52"/>
      <c r="R7" s="52"/>
      <c r="S7" s="52"/>
      <c r="T7" s="52"/>
      <c r="U7" s="52"/>
      <c r="V7" s="52"/>
      <c r="W7" s="52"/>
      <c r="X7" s="25"/>
    </row>
    <row r="8" spans="1:24" ht="24.6" customHeight="1" thickBot="1" x14ac:dyDescent="0.35">
      <c r="A8" s="25"/>
      <c r="B8" s="25"/>
      <c r="C8" s="25"/>
      <c r="D8" s="169"/>
      <c r="E8" s="169"/>
      <c r="F8" s="506"/>
      <c r="G8" s="52"/>
      <c r="H8" s="52"/>
      <c r="I8" s="52"/>
      <c r="J8" s="52"/>
      <c r="K8" s="52"/>
      <c r="L8" s="52"/>
      <c r="M8" s="52"/>
      <c r="N8" s="52"/>
      <c r="O8" s="52"/>
      <c r="P8" s="52"/>
      <c r="Q8" s="52"/>
      <c r="R8" s="52"/>
      <c r="S8" s="52"/>
      <c r="T8" s="52"/>
      <c r="U8" s="52"/>
      <c r="V8" s="52"/>
      <c r="W8" s="52"/>
      <c r="X8" s="25"/>
    </row>
    <row r="9" spans="1:24" ht="24.6" customHeight="1" thickBot="1" x14ac:dyDescent="0.3">
      <c r="A9" s="25"/>
      <c r="B9" s="622" t="s">
        <v>276</v>
      </c>
      <c r="C9" s="995"/>
      <c r="D9" s="982" t="str">
        <f ca="1">IF(OR(D5="BNG Targets Not Met ▲",D7="Trading Rules Not Satisfied ▲"),"Scheme alterations or offsite units required","Check for input errors/rule breaks present in the metric ⚠")</f>
        <v>Scheme alterations or offsite units required</v>
      </c>
      <c r="E9" s="983"/>
      <c r="F9" s="499"/>
      <c r="G9" s="29"/>
      <c r="H9" s="29"/>
      <c r="I9" s="29"/>
      <c r="J9" s="29"/>
      <c r="K9" s="29"/>
      <c r="L9" s="29"/>
      <c r="M9" s="29"/>
      <c r="N9" s="29"/>
      <c r="O9" s="29"/>
      <c r="P9" s="29"/>
      <c r="Q9" s="54"/>
      <c r="R9" s="29"/>
      <c r="S9" s="52"/>
      <c r="T9" s="52"/>
      <c r="U9" s="52"/>
      <c r="V9" s="52"/>
      <c r="W9" s="52"/>
      <c r="X9" s="25"/>
    </row>
    <row r="10" spans="1:24" ht="43.5" customHeight="1" thickBot="1" x14ac:dyDescent="0.3">
      <c r="A10" s="25"/>
      <c r="B10" s="25"/>
      <c r="C10" s="25"/>
      <c r="D10" s="980"/>
      <c r="E10" s="980"/>
      <c r="F10" s="499" t="s">
        <v>277</v>
      </c>
      <c r="G10" s="29"/>
      <c r="H10" s="29"/>
      <c r="I10" s="29"/>
      <c r="J10" s="29"/>
      <c r="K10" s="29"/>
      <c r="L10" s="29"/>
      <c r="M10" s="29"/>
      <c r="N10" s="29"/>
      <c r="O10" s="29"/>
      <c r="P10" s="29"/>
      <c r="Q10" s="54"/>
      <c r="R10" s="29"/>
      <c r="S10" s="52"/>
      <c r="T10" s="52"/>
      <c r="U10" s="52"/>
      <c r="V10" s="52"/>
      <c r="W10" s="52"/>
      <c r="X10" s="25"/>
    </row>
    <row r="11" spans="1:24" ht="24.6" customHeight="1" x14ac:dyDescent="0.25">
      <c r="A11" s="25"/>
      <c r="B11" s="975" t="s">
        <v>278</v>
      </c>
      <c r="C11" s="277" t="s">
        <v>279</v>
      </c>
      <c r="D11" s="492">
        <f>IF('5. Area Habitats'!L32=0,"Zero Units Baseline",'5. Area Habitats'!L32)</f>
        <v>0.13396</v>
      </c>
      <c r="E11" s="493"/>
      <c r="F11" s="499">
        <f>('2. Site Details'!$D$13/100)*$D$11</f>
        <v>1.3396E-2</v>
      </c>
      <c r="G11" s="383"/>
      <c r="H11" s="29"/>
      <c r="I11" s="29"/>
      <c r="J11" s="29"/>
      <c r="K11" s="29"/>
      <c r="L11" s="29"/>
      <c r="M11" s="29"/>
      <c r="N11" s="29"/>
      <c r="O11" s="29"/>
      <c r="P11" s="29"/>
      <c r="Q11" s="54"/>
      <c r="R11" s="29"/>
      <c r="S11" s="52"/>
      <c r="T11" s="52"/>
      <c r="U11" s="52"/>
      <c r="V11" s="52"/>
      <c r="W11" s="52"/>
      <c r="X11" s="25"/>
    </row>
    <row r="12" spans="1:24" ht="24.6" customHeight="1" x14ac:dyDescent="0.25">
      <c r="A12" s="25"/>
      <c r="B12" s="976"/>
      <c r="C12" s="278" t="s">
        <v>280</v>
      </c>
      <c r="D12" s="494" t="str">
        <f>IF('6. Hedges &amp; Lines of Trees'!L31=0,"Zero Units Baseline",'6. Hedges &amp; Lines of Trees'!L31)</f>
        <v>Zero Units Baseline</v>
      </c>
      <c r="E12" s="495"/>
      <c r="F12" s="499" t="e">
        <f>('2. Site Details'!$D$14/100)*$D$12</f>
        <v>#VALUE!</v>
      </c>
      <c r="G12" s="384"/>
      <c r="H12" s="29"/>
      <c r="I12" s="29"/>
      <c r="J12" s="29"/>
      <c r="K12" s="29"/>
      <c r="L12" s="29"/>
      <c r="M12" s="29"/>
      <c r="N12" s="29"/>
      <c r="O12" s="29"/>
      <c r="P12" s="29"/>
      <c r="Q12" s="54"/>
      <c r="R12" s="29"/>
      <c r="S12" s="52"/>
      <c r="T12" s="52"/>
      <c r="U12" s="52"/>
      <c r="V12" s="52"/>
      <c r="W12" s="52"/>
      <c r="X12" s="25"/>
    </row>
    <row r="13" spans="1:24" ht="24.6" customHeight="1" thickBot="1" x14ac:dyDescent="0.3">
      <c r="A13" s="25"/>
      <c r="B13" s="977"/>
      <c r="C13" s="279" t="s">
        <v>281</v>
      </c>
      <c r="D13" s="496" t="str">
        <f>IF('7. Watercourses'!L31=0,"Zero Units Baseline",'7. Watercourses'!L31)</f>
        <v>Zero Units Baseline</v>
      </c>
      <c r="E13" s="497"/>
      <c r="F13" s="499" t="e">
        <f>('2. Site Details'!$D$15/100)*$D$13</f>
        <v>#VALUE!</v>
      </c>
      <c r="G13" s="385"/>
      <c r="H13" s="29"/>
      <c r="I13" s="29"/>
      <c r="J13" s="29"/>
      <c r="K13" s="29"/>
      <c r="L13" s="29"/>
      <c r="M13" s="29"/>
      <c r="N13" s="29"/>
      <c r="O13" s="29"/>
      <c r="P13" s="29"/>
      <c r="Q13" s="54"/>
      <c r="R13" s="29"/>
      <c r="S13" s="52"/>
      <c r="T13" s="52"/>
      <c r="U13" s="52"/>
      <c r="V13" s="52"/>
      <c r="W13" s="52"/>
      <c r="X13" s="25"/>
    </row>
    <row r="14" spans="1:24" ht="24.6" customHeight="1" thickBot="1" x14ac:dyDescent="0.35">
      <c r="A14" s="25"/>
      <c r="B14" s="25"/>
      <c r="C14" s="25"/>
      <c r="D14" s="169"/>
      <c r="E14" s="169"/>
      <c r="F14" s="499" t="s">
        <v>282</v>
      </c>
      <c r="G14" s="29"/>
      <c r="H14" s="29"/>
      <c r="I14" s="29"/>
      <c r="J14" s="29"/>
      <c r="K14" s="29"/>
      <c r="L14" s="29"/>
      <c r="M14" s="29"/>
      <c r="N14" s="29"/>
      <c r="O14" s="29"/>
      <c r="P14" s="29"/>
      <c r="Q14" s="54"/>
      <c r="R14" s="29"/>
      <c r="S14" s="52"/>
      <c r="T14" s="52"/>
      <c r="U14" s="52"/>
      <c r="V14" s="52"/>
      <c r="W14" s="52"/>
      <c r="X14" s="25"/>
    </row>
    <row r="15" spans="1:24" ht="24.6" customHeight="1" x14ac:dyDescent="0.25">
      <c r="A15" s="25"/>
      <c r="B15" s="975" t="s">
        <v>283</v>
      </c>
      <c r="C15" s="277" t="s">
        <v>279</v>
      </c>
      <c r="D15" s="492">
        <f>'5. Area Habitats'!P3+'5. Area Habitats'!P4+'5. Area Habitats'!P1</f>
        <v>3.4199599999999997E-2</v>
      </c>
      <c r="E15" s="493"/>
      <c r="F15" s="500">
        <f>D11+F11</f>
        <v>0.14735599999999999</v>
      </c>
      <c r="G15" s="29"/>
      <c r="H15" s="29"/>
      <c r="I15" s="29"/>
      <c r="J15" s="29"/>
      <c r="K15" s="29"/>
      <c r="L15" s="29"/>
      <c r="M15" s="29"/>
      <c r="N15" s="29"/>
      <c r="O15" s="29"/>
      <c r="P15" s="29"/>
      <c r="Q15" s="54"/>
      <c r="R15" s="29"/>
      <c r="S15" s="52"/>
      <c r="T15" s="52"/>
      <c r="U15" s="52"/>
      <c r="V15" s="52"/>
      <c r="W15" s="52"/>
      <c r="X15" s="25"/>
    </row>
    <row r="16" spans="1:24" ht="24.6" customHeight="1" x14ac:dyDescent="0.25">
      <c r="A16" s="25"/>
      <c r="B16" s="976"/>
      <c r="C16" s="278" t="s">
        <v>280</v>
      </c>
      <c r="D16" s="494">
        <f>'6. Hedges &amp; Lines of Trees'!P3+'6. Hedges &amp; Lines of Trees'!P4+'6. Hedges &amp; Lines of Trees'!P1</f>
        <v>0</v>
      </c>
      <c r="E16" s="495"/>
      <c r="F16" s="500" t="e">
        <f>D12+F12</f>
        <v>#VALUE!</v>
      </c>
      <c r="G16" s="29"/>
      <c r="H16" s="29"/>
      <c r="I16" s="29"/>
      <c r="J16" s="29"/>
      <c r="K16" s="29"/>
      <c r="L16" s="29"/>
      <c r="M16" s="29"/>
      <c r="N16" s="29"/>
      <c r="O16" s="29"/>
      <c r="P16" s="29"/>
      <c r="Q16" s="54"/>
      <c r="R16" s="29"/>
      <c r="S16" s="52"/>
      <c r="T16" s="52"/>
      <c r="U16" s="52"/>
      <c r="V16" s="52"/>
      <c r="W16" s="52"/>
      <c r="X16" s="25"/>
    </row>
    <row r="17" spans="1:24" ht="24.6" customHeight="1" thickBot="1" x14ac:dyDescent="0.3">
      <c r="A17" s="25"/>
      <c r="B17" s="977"/>
      <c r="C17" s="279" t="s">
        <v>281</v>
      </c>
      <c r="D17" s="496">
        <f>'7. Watercourses'!P3+'7. Watercourses'!P4+'7. Watercourses'!P1</f>
        <v>0</v>
      </c>
      <c r="E17" s="497"/>
      <c r="F17" s="500" t="e">
        <f>D13+F13</f>
        <v>#VALUE!</v>
      </c>
      <c r="G17" s="29"/>
      <c r="H17" s="29"/>
      <c r="I17" s="29"/>
      <c r="J17" s="29"/>
      <c r="K17" s="29"/>
      <c r="L17" s="29"/>
      <c r="M17" s="29"/>
      <c r="N17" s="29"/>
      <c r="O17" s="29"/>
      <c r="P17" s="29"/>
      <c r="Q17" s="54"/>
      <c r="R17" s="29"/>
      <c r="S17" s="52"/>
      <c r="T17" s="52"/>
      <c r="U17" s="52"/>
      <c r="V17" s="52"/>
      <c r="W17" s="52"/>
      <c r="X17" s="25"/>
    </row>
    <row r="18" spans="1:24" ht="24.6" customHeight="1" thickBot="1" x14ac:dyDescent="0.35">
      <c r="A18" s="25"/>
      <c r="B18" s="25"/>
      <c r="C18" s="25"/>
      <c r="D18" s="169"/>
      <c r="E18" s="169"/>
      <c r="F18" s="499"/>
      <c r="G18" s="29"/>
      <c r="H18" s="29"/>
      <c r="I18" s="29"/>
      <c r="J18" s="29"/>
      <c r="K18" s="29"/>
      <c r="L18" s="29"/>
      <c r="M18" s="29"/>
      <c r="N18" s="29"/>
      <c r="O18" s="29"/>
      <c r="P18" s="29"/>
      <c r="Q18" s="54"/>
      <c r="R18" s="29"/>
      <c r="S18" s="52"/>
      <c r="T18" s="52"/>
      <c r="U18" s="52"/>
      <c r="V18" s="52"/>
      <c r="W18" s="52"/>
      <c r="X18" s="25"/>
    </row>
    <row r="19" spans="1:24" ht="24.6" customHeight="1" x14ac:dyDescent="0.25">
      <c r="A19" s="25"/>
      <c r="B19" s="975" t="s">
        <v>284</v>
      </c>
      <c r="C19" s="537" t="s">
        <v>279</v>
      </c>
      <c r="D19" s="542">
        <f>'5. Area Habitats'!P5</f>
        <v>-9.9760399999999999E-2</v>
      </c>
      <c r="E19" s="543" t="str" cm="1">
        <f t="array" ref="E19">_xlfn.IFS(D19&gt;=F11,"✓",D19&lt;0,"▲", D19&lt;F11,"⚠")</f>
        <v>▲</v>
      </c>
      <c r="F19" s="501">
        <f>F11/D11</f>
        <v>0.1</v>
      </c>
      <c r="G19" s="29"/>
      <c r="H19" s="29"/>
      <c r="I19" s="29"/>
      <c r="J19" s="29"/>
      <c r="K19" s="29"/>
      <c r="L19" s="29"/>
      <c r="M19" s="29"/>
      <c r="N19" s="29"/>
      <c r="O19" s="29"/>
      <c r="P19" s="29"/>
      <c r="Q19" s="54"/>
      <c r="R19" s="29"/>
      <c r="S19" s="52"/>
      <c r="T19" s="52"/>
      <c r="U19" s="52"/>
      <c r="V19" s="52"/>
      <c r="W19" s="52"/>
      <c r="X19" s="25"/>
    </row>
    <row r="20" spans="1:24" ht="24.6" customHeight="1" x14ac:dyDescent="0.25">
      <c r="A20" s="25"/>
      <c r="B20" s="976"/>
      <c r="C20" s="538" t="s">
        <v>280</v>
      </c>
      <c r="D20" s="544">
        <f>'6. Hedges &amp; Lines of Trees'!P5</f>
        <v>0</v>
      </c>
      <c r="E20" s="545" t="e" cm="1">
        <f t="array" ref="E20">_xlfn.IFS(D20&gt;=F12,"✓",D20&lt;0,"▲", D20&lt;F12,"⚠")</f>
        <v>#VALUE!</v>
      </c>
      <c r="F20" s="501"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x14ac:dyDescent="0.3">
      <c r="A21" s="25"/>
      <c r="B21" s="977"/>
      <c r="C21" s="539" t="s">
        <v>281</v>
      </c>
      <c r="D21" s="540">
        <f>'7. Watercourses'!P5</f>
        <v>0</v>
      </c>
      <c r="E21" s="541" t="e" cm="1">
        <f t="array" ref="E21">_xlfn.IFS(D21&gt;=F13,"✓",D21&lt;0,"▲", D21&lt;F13,"⚠")</f>
        <v>#VALUE!</v>
      </c>
      <c r="F21" s="501" t="e">
        <f t="shared" si="0"/>
        <v>#VALUE!</v>
      </c>
      <c r="G21" s="29"/>
      <c r="H21" s="29"/>
      <c r="I21" s="29"/>
      <c r="J21" s="29"/>
      <c r="K21" s="29"/>
      <c r="L21" s="29"/>
      <c r="M21" s="29"/>
      <c r="N21" s="29"/>
      <c r="O21" s="29"/>
      <c r="P21" s="29"/>
      <c r="Q21" s="54"/>
      <c r="R21" s="29"/>
      <c r="S21" s="52"/>
      <c r="T21" s="52"/>
      <c r="U21" s="52"/>
      <c r="V21" s="52"/>
      <c r="W21" s="52"/>
      <c r="X21" s="25"/>
    </row>
    <row r="22" spans="1:24" ht="24.6" customHeight="1" thickBot="1" x14ac:dyDescent="0.35">
      <c r="A22" s="25"/>
      <c r="B22" s="27"/>
      <c r="C22" s="150"/>
      <c r="D22" s="40"/>
      <c r="E22" s="40"/>
      <c r="F22" s="499"/>
      <c r="G22" s="29"/>
      <c r="H22" s="29"/>
      <c r="I22" s="29"/>
      <c r="J22" s="29"/>
      <c r="K22" s="29"/>
      <c r="L22" s="29"/>
      <c r="M22" s="29"/>
      <c r="N22" s="29"/>
      <c r="O22" s="29"/>
      <c r="P22" s="29"/>
      <c r="Q22" s="54"/>
      <c r="R22" s="29"/>
      <c r="S22" s="52"/>
      <c r="T22" s="52"/>
      <c r="U22" s="52"/>
      <c r="V22" s="52"/>
      <c r="W22" s="52"/>
      <c r="X22" s="25"/>
    </row>
    <row r="23" spans="1:24" ht="24.6" customHeight="1" x14ac:dyDescent="0.25">
      <c r="A23" s="25"/>
      <c r="B23" s="784" t="s">
        <v>285</v>
      </c>
      <c r="C23" s="537" t="s">
        <v>279</v>
      </c>
      <c r="D23" s="546">
        <f>IF(D11="Zero Units Baseline","% target not appropriate",D19/D11)</f>
        <v>-0.74470289638698117</v>
      </c>
      <c r="E23" s="547" t="str" cm="1">
        <f t="array" ref="E23">_xlfn.IFS(D23&gt;=F19,"✓",D23&lt;0,"▲", D23&lt;F19,"⚠")</f>
        <v>▲</v>
      </c>
      <c r="F23" s="499">
        <f>$D$23*100</f>
        <v>-74.470289638698119</v>
      </c>
      <c r="G23" s="29"/>
      <c r="H23" s="29"/>
      <c r="I23" s="29"/>
      <c r="J23" s="29"/>
      <c r="K23" s="29"/>
      <c r="L23" s="29"/>
      <c r="M23" s="29"/>
      <c r="N23" s="29"/>
      <c r="O23" s="29"/>
      <c r="P23" s="29"/>
      <c r="Q23" s="54"/>
      <c r="R23" s="29"/>
      <c r="S23" s="52"/>
      <c r="T23" s="52"/>
      <c r="U23" s="52"/>
      <c r="V23" s="52"/>
      <c r="W23" s="52"/>
      <c r="X23" s="25"/>
    </row>
    <row r="24" spans="1:24" ht="24.6" customHeight="1" x14ac:dyDescent="0.25">
      <c r="A24" s="25"/>
      <c r="B24" s="987"/>
      <c r="C24" s="538" t="s">
        <v>280</v>
      </c>
      <c r="D24" s="548" t="str">
        <f>IF(D12="Zero Units Baseline","% target not appropriate",D20/D12)</f>
        <v>% target not appropriate</v>
      </c>
      <c r="E24" s="549" t="e" cm="1">
        <f t="array" ref="E24">_xlfn.IFS(D24&gt;=F20,"✓",D24&lt;0,"▲", D24&lt;F20,"⚠")</f>
        <v>#VALUE!</v>
      </c>
      <c r="F24" s="499" t="e">
        <f>$D$24*100</f>
        <v>#VALUE!</v>
      </c>
      <c r="G24" s="29"/>
      <c r="H24" s="29"/>
      <c r="I24" s="29"/>
      <c r="J24" s="29"/>
      <c r="K24" s="29"/>
      <c r="L24" s="29"/>
      <c r="M24" s="29"/>
      <c r="N24" s="29"/>
      <c r="O24" s="29"/>
      <c r="P24" s="29"/>
      <c r="Q24" s="54"/>
      <c r="R24" s="29"/>
      <c r="S24" s="52"/>
      <c r="T24" s="52"/>
      <c r="U24" s="52"/>
      <c r="V24" s="52"/>
      <c r="W24" s="52"/>
      <c r="X24" s="25"/>
    </row>
    <row r="25" spans="1:24" ht="24.6" customHeight="1" thickBot="1" x14ac:dyDescent="0.3">
      <c r="A25" s="25"/>
      <c r="B25" s="988"/>
      <c r="C25" s="539" t="s">
        <v>281</v>
      </c>
      <c r="D25" s="550" t="str">
        <f>IF(D13="Zero Units Baseline","% target not appropriate",D21/D13)</f>
        <v>% target not appropriate</v>
      </c>
      <c r="E25" s="551" t="e" cm="1">
        <f t="array" ref="E25">_xlfn.IFS(D25&gt;=F21,"✓",D25&lt;0,"▲", D25&lt;F21,"⚠")</f>
        <v>#VALUE!</v>
      </c>
      <c r="F25" s="499" t="e">
        <f>$D$25*100</f>
        <v>#VALUE!</v>
      </c>
      <c r="G25" s="29"/>
      <c r="H25" s="29"/>
      <c r="I25" s="29"/>
      <c r="J25" s="29"/>
      <c r="K25" s="29"/>
      <c r="L25" s="29"/>
      <c r="M25" s="29"/>
      <c r="N25" s="29"/>
      <c r="O25" s="29"/>
      <c r="P25" s="29"/>
      <c r="Q25" s="54"/>
      <c r="R25" s="29"/>
      <c r="S25" s="52"/>
      <c r="T25" s="52"/>
      <c r="U25" s="52"/>
      <c r="V25" s="52"/>
      <c r="W25" s="52"/>
      <c r="X25" s="25"/>
    </row>
    <row r="26" spans="1:24" ht="24.6" customHeight="1" thickBot="1" x14ac:dyDescent="0.35">
      <c r="A26" s="25"/>
      <c r="B26" s="25"/>
      <c r="C26" s="25"/>
      <c r="D26" s="169"/>
      <c r="E26" s="169"/>
      <c r="F26" s="499"/>
      <c r="G26" s="29"/>
      <c r="H26" s="29"/>
      <c r="I26" s="29"/>
      <c r="J26" s="29"/>
      <c r="K26" s="29"/>
      <c r="L26" s="29"/>
      <c r="M26" s="29"/>
      <c r="N26" s="29"/>
      <c r="O26" s="29"/>
      <c r="P26" s="29"/>
      <c r="Q26" s="54"/>
      <c r="R26" s="29"/>
      <c r="S26" s="52"/>
      <c r="T26" s="52"/>
      <c r="U26" s="52"/>
      <c r="V26" s="52"/>
      <c r="W26" s="52"/>
      <c r="X26" s="25"/>
    </row>
    <row r="27" spans="1:24" ht="24.6" customHeight="1" x14ac:dyDescent="0.25">
      <c r="A27" s="25"/>
      <c r="B27" s="993" t="s">
        <v>286</v>
      </c>
      <c r="C27" s="994"/>
      <c r="D27" s="996">
        <f>IFERROR(IF(D11="Zero Units Baseline",IF('2. Site Details'!D17&lt;=D15,0,'2. Site Details'!D17-D15),(IF((D11*(1+('2. Site Details'!D13/100)))-D15&lt;0,0,F15-D15))),"")</f>
        <v>0.11315639999999999</v>
      </c>
      <c r="E27" s="997"/>
      <c r="F27" s="499"/>
      <c r="G27" s="29"/>
      <c r="H27" s="29"/>
      <c r="I27" s="29"/>
      <c r="J27" s="29"/>
      <c r="K27" s="29"/>
      <c r="L27" s="29"/>
      <c r="M27" s="29"/>
      <c r="N27" s="29"/>
      <c r="O27" s="29"/>
      <c r="P27" s="29"/>
      <c r="Q27" s="54"/>
      <c r="R27" s="29"/>
      <c r="S27" s="52"/>
      <c r="T27" s="52"/>
      <c r="U27" s="52"/>
      <c r="V27" s="52"/>
      <c r="W27" s="52"/>
      <c r="X27" s="25"/>
    </row>
    <row r="28" spans="1:24" ht="24.6" customHeight="1" x14ac:dyDescent="0.25">
      <c r="A28" s="25"/>
      <c r="B28" s="991" t="s">
        <v>287</v>
      </c>
      <c r="C28" s="992"/>
      <c r="D28" s="998">
        <f>IFERROR(IF(D12="Zero Units Baseline",IF('2. Site Details'!D18&lt;=D16,0,'2. Site Details'!D18-D16),(IF((D12*(1+('2. Site Details'!D14/100)))-D16&lt;0,0,F16-D16))),"")</f>
        <v>0</v>
      </c>
      <c r="E28" s="999"/>
      <c r="F28" s="499"/>
      <c r="G28" s="163"/>
      <c r="H28" s="29"/>
      <c r="I28" s="29"/>
      <c r="J28" s="29"/>
      <c r="K28" s="29"/>
      <c r="L28" s="29"/>
      <c r="M28" s="29"/>
      <c r="N28" s="29"/>
      <c r="O28" s="29"/>
      <c r="P28" s="29"/>
      <c r="Q28" s="54"/>
      <c r="R28" s="29"/>
      <c r="S28" s="52"/>
      <c r="T28" s="52"/>
      <c r="U28" s="52"/>
      <c r="V28" s="52"/>
      <c r="W28" s="52"/>
      <c r="X28" s="25"/>
    </row>
    <row r="29" spans="1:24" ht="24.6" customHeight="1" thickBot="1" x14ac:dyDescent="0.3">
      <c r="A29" s="25"/>
      <c r="B29" s="989" t="s">
        <v>288</v>
      </c>
      <c r="C29" s="990"/>
      <c r="D29" s="1000">
        <f>IFERROR(IF(D13="Zero Units Baseline",IF('2. Site Details'!D19&lt;=D17,0,'2. Site Details'!D19-D17),(IF((D13*(1+('2. Site Details'!D15/100)))-D17&lt;0,0,F17-D17))),"")</f>
        <v>0</v>
      </c>
      <c r="E29" s="1001"/>
      <c r="F29" s="499"/>
      <c r="G29" s="29"/>
      <c r="H29" s="29"/>
      <c r="I29" s="29"/>
      <c r="J29" s="29"/>
      <c r="K29" s="29"/>
      <c r="L29" s="29"/>
      <c r="M29" s="29"/>
      <c r="N29" s="29"/>
      <c r="O29" s="29"/>
      <c r="P29" s="29"/>
      <c r="Q29" s="54"/>
      <c r="R29" s="29"/>
      <c r="S29" s="52"/>
      <c r="T29" s="52"/>
      <c r="U29" s="52"/>
      <c r="V29" s="52"/>
      <c r="W29" s="52"/>
      <c r="X29" s="25"/>
    </row>
    <row r="30" spans="1:24" ht="10.15" customHeight="1" x14ac:dyDescent="0.3">
      <c r="A30" s="25"/>
      <c r="B30" s="25"/>
      <c r="C30" s="25"/>
      <c r="D30" s="169"/>
      <c r="E30" s="169"/>
      <c r="F30" s="499"/>
      <c r="G30" s="29"/>
      <c r="H30" s="29"/>
      <c r="I30" s="29"/>
      <c r="J30" s="29"/>
      <c r="K30" s="29"/>
      <c r="L30" s="29"/>
      <c r="M30" s="29"/>
      <c r="N30" s="29"/>
      <c r="O30" s="29"/>
      <c r="P30" s="29"/>
      <c r="Q30" s="54"/>
      <c r="R30" s="29"/>
      <c r="S30" s="52"/>
      <c r="T30" s="52"/>
      <c r="U30" s="52"/>
      <c r="V30" s="52"/>
      <c r="W30" s="52"/>
      <c r="X30" s="25"/>
    </row>
    <row r="31" spans="1:24" ht="19.899999999999999" customHeight="1" x14ac:dyDescent="0.3">
      <c r="A31" s="25"/>
      <c r="B31" s="56"/>
      <c r="C31" s="25"/>
      <c r="D31" s="169"/>
      <c r="E31" s="169"/>
      <c r="F31" s="499"/>
      <c r="G31" s="29"/>
      <c r="H31" s="29"/>
      <c r="I31" s="29"/>
      <c r="J31" s="29"/>
      <c r="K31" s="29"/>
      <c r="L31" s="29"/>
      <c r="M31" s="29"/>
      <c r="N31" s="29"/>
      <c r="O31" s="29"/>
      <c r="P31" s="29"/>
      <c r="Q31" s="54"/>
      <c r="R31" s="29"/>
      <c r="S31" s="52"/>
      <c r="T31" s="52"/>
      <c r="U31" s="52"/>
      <c r="V31" s="52"/>
      <c r="W31" s="52"/>
      <c r="X31" s="25"/>
    </row>
    <row r="32" spans="1:24" ht="9" customHeight="1" x14ac:dyDescent="0.3">
      <c r="A32" s="25"/>
      <c r="B32" s="25"/>
      <c r="C32" s="25"/>
      <c r="D32" s="169"/>
      <c r="E32" s="169"/>
      <c r="F32" s="499"/>
      <c r="G32" s="25"/>
      <c r="H32" s="29"/>
      <c r="I32" s="29"/>
      <c r="J32" s="29"/>
      <c r="K32" s="29"/>
      <c r="L32" s="29"/>
      <c r="M32" s="29"/>
      <c r="N32" s="29"/>
      <c r="O32" s="29"/>
      <c r="P32" s="29"/>
      <c r="Q32" s="54"/>
      <c r="R32" s="29"/>
      <c r="S32" s="52"/>
      <c r="T32" s="52"/>
      <c r="U32" s="52"/>
      <c r="V32" s="52"/>
      <c r="W32" s="52"/>
      <c r="X32" s="25"/>
    </row>
    <row r="33" spans="1:24" ht="23.65" customHeight="1" x14ac:dyDescent="0.3">
      <c r="A33" s="25"/>
      <c r="B33" s="56" t="s">
        <v>289</v>
      </c>
      <c r="C33" s="25"/>
      <c r="D33" s="169"/>
      <c r="E33" s="169"/>
      <c r="F33" s="499"/>
      <c r="G33" s="29"/>
      <c r="H33" s="29"/>
      <c r="I33" s="29"/>
      <c r="J33" s="29"/>
      <c r="K33" s="29"/>
      <c r="L33" s="29"/>
      <c r="M33" s="29"/>
      <c r="N33" s="29"/>
      <c r="O33" s="29"/>
      <c r="P33" s="29"/>
      <c r="Q33" s="54"/>
      <c r="R33" s="29"/>
      <c r="S33" s="25"/>
      <c r="T33" s="25"/>
      <c r="U33" s="25"/>
      <c r="V33" s="25"/>
      <c r="W33" s="25"/>
      <c r="X33" s="25"/>
    </row>
    <row r="34" spans="1:24" s="55" customFormat="1" ht="23.65" customHeight="1" x14ac:dyDescent="0.3">
      <c r="A34" s="29"/>
      <c r="B34" s="56"/>
      <c r="C34" s="25"/>
      <c r="D34" s="169"/>
      <c r="E34" s="169"/>
      <c r="F34" s="499"/>
      <c r="G34" s="25"/>
      <c r="H34" s="25"/>
      <c r="I34" s="25"/>
      <c r="J34" s="25"/>
      <c r="K34" s="25"/>
      <c r="L34" s="25"/>
      <c r="M34" s="25"/>
      <c r="N34" s="25"/>
      <c r="O34" s="25"/>
      <c r="P34" s="29"/>
      <c r="Q34" s="54"/>
      <c r="R34" s="29"/>
      <c r="S34" s="29"/>
      <c r="T34" s="29"/>
      <c r="U34" s="29"/>
      <c r="V34" s="29"/>
      <c r="W34" s="29"/>
      <c r="X34" s="29"/>
    </row>
    <row r="35" spans="1:24" s="55" customFormat="1" ht="23.65" customHeight="1" thickBot="1" x14ac:dyDescent="0.3">
      <c r="A35" s="29"/>
      <c r="B35" s="25"/>
      <c r="C35" s="25" t="s">
        <v>290</v>
      </c>
      <c r="D35" s="25" t="s">
        <v>291</v>
      </c>
      <c r="E35" s="52"/>
      <c r="F35" s="499"/>
      <c r="G35" s="25"/>
      <c r="H35" s="25"/>
      <c r="I35" s="25"/>
      <c r="J35" s="25"/>
      <c r="K35" s="25"/>
      <c r="L35" s="25"/>
      <c r="M35" s="25"/>
      <c r="N35" s="25"/>
      <c r="O35" s="25"/>
      <c r="P35" s="29"/>
      <c r="Q35" s="54"/>
      <c r="R35" s="29"/>
      <c r="S35" s="29"/>
      <c r="T35" s="29"/>
      <c r="U35" s="29"/>
      <c r="V35" s="29"/>
      <c r="W35" s="29"/>
      <c r="X35" s="29"/>
    </row>
    <row r="36" spans="1:24" ht="23.65" customHeight="1" thickBot="1" x14ac:dyDescent="0.3">
      <c r="A36" s="25"/>
      <c r="B36" s="386" t="s">
        <v>279</v>
      </c>
      <c r="C36" s="51">
        <f>IF(D11="Zero Units Baseline",0,D11)</f>
        <v>0.13396</v>
      </c>
      <c r="D36" s="51">
        <f>D15</f>
        <v>3.4199599999999997E-2</v>
      </c>
      <c r="E36" s="52"/>
      <c r="F36" s="499"/>
      <c r="G36" s="25"/>
      <c r="H36" s="25"/>
      <c r="I36" s="25"/>
      <c r="J36" s="25"/>
      <c r="K36" s="25"/>
      <c r="L36" s="25"/>
      <c r="M36" s="25"/>
      <c r="N36" s="25"/>
      <c r="O36" s="25"/>
      <c r="P36" s="25"/>
      <c r="Q36" s="54"/>
      <c r="R36" s="29"/>
      <c r="S36" s="29"/>
      <c r="T36" s="29"/>
      <c r="U36" s="29"/>
      <c r="V36" s="29"/>
      <c r="W36" s="29"/>
      <c r="X36" s="25"/>
    </row>
    <row r="37" spans="1:24" ht="23.65" customHeight="1" thickBot="1" x14ac:dyDescent="0.3">
      <c r="A37" s="25"/>
      <c r="B37" s="386" t="s">
        <v>280</v>
      </c>
      <c r="C37" s="51">
        <f t="shared" ref="C37:C38" si="1">IF(D12="Zero Units Baseline",0,D12)</f>
        <v>0</v>
      </c>
      <c r="D37" s="51">
        <f t="shared" ref="D37:D38" si="2">D16</f>
        <v>0</v>
      </c>
      <c r="E37" s="52"/>
      <c r="F37" s="499"/>
      <c r="G37" s="25"/>
      <c r="H37" s="25"/>
      <c r="I37" s="25"/>
      <c r="J37" s="25"/>
      <c r="K37" s="25"/>
      <c r="L37" s="25"/>
      <c r="M37" s="25"/>
      <c r="N37" s="25"/>
      <c r="O37" s="25"/>
      <c r="P37" s="25"/>
      <c r="Q37" s="54"/>
      <c r="R37" s="29"/>
      <c r="S37" s="29"/>
      <c r="T37" s="29"/>
      <c r="U37" s="29"/>
      <c r="V37" s="29"/>
      <c r="W37" s="29"/>
      <c r="X37" s="25"/>
    </row>
    <row r="38" spans="1:24" ht="23.65" customHeight="1" x14ac:dyDescent="0.25">
      <c r="A38" s="25"/>
      <c r="B38" s="386" t="s">
        <v>292</v>
      </c>
      <c r="C38" s="51">
        <f t="shared" si="1"/>
        <v>0</v>
      </c>
      <c r="D38" s="51">
        <f t="shared" si="2"/>
        <v>0</v>
      </c>
      <c r="E38" s="52"/>
      <c r="F38" s="499"/>
      <c r="G38" s="25"/>
      <c r="H38" s="25"/>
      <c r="I38" s="25"/>
      <c r="J38" s="25"/>
      <c r="K38" s="25"/>
      <c r="L38" s="25"/>
      <c r="M38" s="25"/>
      <c r="N38" s="25"/>
      <c r="O38" s="25"/>
      <c r="P38" s="25"/>
      <c r="Q38" s="54"/>
      <c r="R38" s="29"/>
      <c r="S38" s="29"/>
      <c r="T38" s="29"/>
      <c r="U38" s="29"/>
      <c r="V38" s="29"/>
      <c r="W38" s="29"/>
      <c r="X38" s="25"/>
    </row>
    <row r="39" spans="1:24" ht="23.65" customHeight="1" x14ac:dyDescent="0.3">
      <c r="A39" s="25"/>
      <c r="B39" s="56"/>
      <c r="C39" s="25"/>
      <c r="D39" s="169"/>
      <c r="E39" s="169"/>
      <c r="F39" s="499"/>
      <c r="G39" s="25"/>
      <c r="H39" s="25"/>
      <c r="I39" s="25"/>
      <c r="J39" s="25"/>
      <c r="K39" s="25"/>
      <c r="L39" s="25"/>
      <c r="M39" s="25"/>
      <c r="N39" s="25"/>
      <c r="O39" s="25"/>
      <c r="P39" s="25"/>
      <c r="Q39" s="54"/>
      <c r="R39" s="29"/>
      <c r="S39" s="29"/>
      <c r="T39" s="29"/>
      <c r="U39" s="29"/>
      <c r="V39" s="29"/>
      <c r="W39" s="29"/>
      <c r="X39" s="25"/>
    </row>
    <row r="40" spans="1:24" ht="23.65" customHeight="1" x14ac:dyDescent="0.3">
      <c r="A40" s="25"/>
      <c r="B40" s="56"/>
      <c r="C40" s="25"/>
      <c r="D40" s="169"/>
      <c r="E40" s="169"/>
      <c r="F40" s="499"/>
      <c r="G40" s="25"/>
      <c r="H40" s="25"/>
      <c r="I40" s="25"/>
      <c r="J40" s="25"/>
      <c r="K40" s="25"/>
      <c r="L40" s="25"/>
      <c r="M40" s="25"/>
      <c r="N40" s="25"/>
      <c r="O40" s="25"/>
      <c r="P40" s="25"/>
      <c r="Q40" s="54"/>
      <c r="R40" s="29"/>
      <c r="S40" s="29"/>
      <c r="T40" s="29"/>
      <c r="U40" s="29"/>
      <c r="V40" s="29"/>
      <c r="W40" s="29"/>
      <c r="X40" s="25"/>
    </row>
    <row r="41" spans="1:24" ht="23.65" customHeight="1" x14ac:dyDescent="0.3">
      <c r="A41" s="25"/>
      <c r="B41" s="56"/>
      <c r="C41" s="25"/>
      <c r="D41" s="169"/>
      <c r="E41" s="169"/>
      <c r="F41" s="499"/>
      <c r="G41" s="25"/>
      <c r="H41" s="25"/>
      <c r="I41" s="25"/>
      <c r="J41" s="25"/>
      <c r="K41" s="25"/>
      <c r="L41" s="25"/>
      <c r="M41" s="25"/>
      <c r="N41" s="25"/>
      <c r="O41" s="25"/>
      <c r="P41" s="25"/>
      <c r="Q41" s="54"/>
      <c r="R41" s="29"/>
      <c r="S41" s="29"/>
      <c r="T41" s="29"/>
      <c r="U41" s="29"/>
      <c r="V41" s="29"/>
      <c r="W41" s="29"/>
      <c r="X41" s="25"/>
    </row>
    <row r="42" spans="1:24" ht="23.65" customHeight="1" x14ac:dyDescent="0.3">
      <c r="A42" s="25"/>
      <c r="B42" s="56"/>
      <c r="C42" s="25"/>
      <c r="D42" s="169"/>
      <c r="E42" s="169"/>
      <c r="F42" s="499"/>
      <c r="G42" s="27"/>
      <c r="H42" s="27"/>
      <c r="I42" s="27"/>
      <c r="J42" s="27"/>
      <c r="K42" s="27"/>
      <c r="L42" s="27"/>
      <c r="M42" s="28"/>
      <c r="N42" s="28"/>
      <c r="O42" s="25"/>
      <c r="P42" s="25"/>
      <c r="Q42" s="54"/>
      <c r="R42" s="29"/>
      <c r="S42" s="29"/>
      <c r="T42" s="29"/>
      <c r="U42" s="29"/>
      <c r="V42" s="29"/>
      <c r="W42" s="29"/>
      <c r="X42" s="25"/>
    </row>
    <row r="43" spans="1:24" ht="23.65" customHeight="1" x14ac:dyDescent="0.3">
      <c r="A43" s="25"/>
      <c r="B43" s="56"/>
      <c r="C43" s="25"/>
      <c r="D43" s="169"/>
      <c r="E43" s="169"/>
      <c r="F43" s="499"/>
      <c r="G43" s="25"/>
      <c r="H43" s="25"/>
      <c r="I43" s="25"/>
      <c r="J43" s="25"/>
      <c r="K43" s="25"/>
      <c r="L43" s="25"/>
      <c r="M43" s="25"/>
      <c r="N43" s="25"/>
      <c r="O43" s="25"/>
      <c r="P43" s="25"/>
      <c r="Q43" s="25"/>
      <c r="R43" s="25"/>
      <c r="S43" s="25"/>
      <c r="T43" s="25"/>
      <c r="U43" s="25"/>
      <c r="V43" s="25"/>
      <c r="W43" s="25"/>
      <c r="X43" s="25"/>
    </row>
    <row r="44" spans="1:24" ht="36.75" customHeight="1" x14ac:dyDescent="0.3">
      <c r="A44" s="25"/>
      <c r="B44" s="56"/>
      <c r="C44" s="25"/>
      <c r="D44" s="169"/>
      <c r="E44" s="169"/>
      <c r="F44" s="499"/>
      <c r="G44" s="25"/>
      <c r="H44" s="25"/>
      <c r="I44" s="25"/>
      <c r="J44" s="25"/>
      <c r="K44" s="25"/>
      <c r="L44" s="25"/>
      <c r="M44" s="25"/>
      <c r="N44" s="25"/>
      <c r="O44" s="25"/>
      <c r="P44" s="25"/>
      <c r="Q44" s="25"/>
      <c r="R44" s="25"/>
      <c r="S44" s="25"/>
      <c r="T44" s="25"/>
      <c r="U44" s="25"/>
      <c r="V44" s="25"/>
      <c r="W44" s="25"/>
      <c r="X44" s="25"/>
    </row>
    <row r="45" spans="1:24" ht="21" x14ac:dyDescent="0.3">
      <c r="A45" s="25"/>
      <c r="B45" s="56"/>
      <c r="C45" s="25"/>
      <c r="D45" s="169"/>
      <c r="E45" s="169"/>
      <c r="F45" s="499"/>
      <c r="G45" s="25"/>
      <c r="H45" s="25"/>
      <c r="I45" s="25"/>
      <c r="J45" s="25"/>
      <c r="K45" s="25"/>
      <c r="L45" s="25"/>
      <c r="M45" s="25"/>
      <c r="N45" s="25"/>
      <c r="O45" s="25"/>
      <c r="P45" s="25"/>
      <c r="Q45" s="25"/>
      <c r="R45" s="25"/>
      <c r="S45" s="25"/>
      <c r="T45" s="25"/>
      <c r="U45" s="25"/>
      <c r="V45" s="25"/>
      <c r="W45" s="25"/>
      <c r="X45" s="25"/>
    </row>
    <row r="46" spans="1:24" s="55" customFormat="1" ht="21" x14ac:dyDescent="0.3">
      <c r="A46" s="29"/>
      <c r="B46" s="56"/>
      <c r="C46" s="25"/>
      <c r="D46" s="169"/>
      <c r="E46" s="169"/>
      <c r="F46" s="499"/>
      <c r="G46" s="56"/>
      <c r="H46" s="29"/>
      <c r="I46" s="29"/>
      <c r="J46" s="29"/>
      <c r="K46" s="29"/>
      <c r="L46" s="29"/>
      <c r="M46" s="29"/>
      <c r="N46" s="29"/>
      <c r="O46" s="29"/>
      <c r="P46" s="29"/>
      <c r="Q46" s="29"/>
      <c r="R46" s="29"/>
      <c r="S46" s="29"/>
      <c r="T46" s="29"/>
      <c r="U46" s="29"/>
      <c r="V46" s="29"/>
      <c r="W46" s="29"/>
      <c r="X46" s="29"/>
    </row>
    <row r="47" spans="1:24" s="55" customFormat="1" ht="21" x14ac:dyDescent="0.3">
      <c r="A47" s="29"/>
      <c r="B47" s="56"/>
      <c r="C47" s="25"/>
      <c r="D47" s="169"/>
      <c r="E47" s="169"/>
      <c r="F47" s="499"/>
      <c r="G47" s="56"/>
      <c r="H47" s="29"/>
      <c r="I47" s="29"/>
      <c r="J47" s="29"/>
      <c r="K47" s="29"/>
      <c r="L47" s="29"/>
      <c r="M47" s="29"/>
      <c r="N47" s="29"/>
      <c r="O47" s="29"/>
      <c r="P47" s="29"/>
      <c r="Q47" s="29"/>
      <c r="R47" s="29"/>
      <c r="S47" s="29"/>
      <c r="T47" s="29"/>
      <c r="U47" s="29"/>
      <c r="V47" s="29"/>
      <c r="W47" s="29"/>
      <c r="X47" s="29"/>
    </row>
    <row r="48" spans="1:24" s="55" customFormat="1" ht="21" x14ac:dyDescent="0.3">
      <c r="A48" s="29"/>
      <c r="B48" s="56"/>
      <c r="C48" s="25"/>
      <c r="D48" s="169"/>
      <c r="E48" s="169"/>
      <c r="F48" s="499"/>
      <c r="G48" s="56"/>
      <c r="H48" s="29"/>
      <c r="I48" s="29"/>
      <c r="J48" s="29"/>
      <c r="K48" s="29"/>
      <c r="L48" s="29"/>
      <c r="M48" s="29"/>
      <c r="N48" s="29"/>
      <c r="O48" s="29"/>
      <c r="P48" s="29"/>
      <c r="Q48" s="29"/>
      <c r="R48" s="29"/>
      <c r="S48" s="29"/>
      <c r="T48" s="29"/>
      <c r="U48" s="29"/>
      <c r="V48" s="29"/>
      <c r="W48" s="29"/>
      <c r="X48" s="29"/>
    </row>
    <row r="49" spans="1:24" ht="23.65" customHeight="1" x14ac:dyDescent="0.3">
      <c r="A49" s="25"/>
      <c r="B49" s="56"/>
      <c r="C49" s="25"/>
      <c r="D49" s="169"/>
      <c r="E49" s="169"/>
      <c r="F49" s="499"/>
      <c r="G49" s="56"/>
      <c r="H49" s="29"/>
      <c r="I49" s="29"/>
      <c r="J49" s="29"/>
      <c r="K49" s="29"/>
      <c r="L49" s="29"/>
      <c r="M49" s="25"/>
      <c r="N49" s="25"/>
      <c r="O49" s="25"/>
      <c r="P49" s="25"/>
      <c r="Q49" s="134"/>
      <c r="R49" s="134"/>
      <c r="S49" s="134"/>
      <c r="T49" s="134"/>
      <c r="U49" s="134"/>
      <c r="V49" s="134"/>
      <c r="W49" s="134"/>
      <c r="X49" s="134"/>
    </row>
    <row r="50" spans="1:24" ht="18" customHeight="1" x14ac:dyDescent="0.25">
      <c r="A50" s="25"/>
      <c r="B50" s="25"/>
      <c r="C50" s="29"/>
      <c r="D50" s="29"/>
      <c r="E50" s="29"/>
      <c r="F50" s="499"/>
      <c r="G50" s="56"/>
      <c r="H50" s="29"/>
      <c r="I50" s="29"/>
      <c r="J50" s="29"/>
      <c r="K50" s="29"/>
      <c r="L50" s="29"/>
      <c r="M50" s="25"/>
      <c r="N50" s="25"/>
      <c r="O50" s="25"/>
      <c r="P50" s="25"/>
      <c r="Q50" s="134"/>
      <c r="R50" s="134"/>
      <c r="S50" s="134"/>
      <c r="T50" s="134"/>
      <c r="U50" s="134"/>
      <c r="V50" s="134"/>
      <c r="W50" s="134"/>
      <c r="X50" s="134"/>
    </row>
    <row r="51" spans="1:24" ht="18.600000000000001" customHeight="1" x14ac:dyDescent="0.25">
      <c r="A51" s="25"/>
      <c r="B51" s="25"/>
      <c r="C51" s="29"/>
      <c r="D51" s="29"/>
      <c r="E51" s="29"/>
      <c r="F51" s="499"/>
      <c r="G51" s="56"/>
      <c r="H51" s="29"/>
      <c r="I51" s="29"/>
      <c r="J51" s="29"/>
      <c r="K51" s="29"/>
      <c r="L51" s="29"/>
      <c r="M51" s="25"/>
      <c r="N51" s="25"/>
      <c r="O51" s="25"/>
      <c r="P51" s="25"/>
      <c r="Q51" s="25"/>
      <c r="R51" s="25"/>
      <c r="S51" s="25"/>
      <c r="T51" s="25"/>
      <c r="U51" s="25"/>
      <c r="V51" s="25"/>
      <c r="W51" s="25"/>
      <c r="X51" s="25"/>
    </row>
    <row r="52" spans="1:24" ht="18.600000000000001" hidden="1" customHeight="1" x14ac:dyDescent="0.25">
      <c r="A52" s="25"/>
      <c r="B52" s="25"/>
      <c r="C52" s="29"/>
      <c r="D52" s="29"/>
      <c r="E52" s="29"/>
      <c r="F52" s="502"/>
      <c r="G52" s="56"/>
      <c r="H52" s="29"/>
      <c r="I52" s="29"/>
      <c r="J52" s="29"/>
      <c r="K52" s="29"/>
      <c r="L52" s="29"/>
      <c r="M52" s="25"/>
      <c r="N52" s="25"/>
      <c r="O52" s="25"/>
      <c r="P52" s="25"/>
      <c r="Q52" s="26"/>
      <c r="R52" s="25"/>
      <c r="S52" s="25"/>
      <c r="T52" s="25"/>
      <c r="U52" s="25"/>
      <c r="V52" s="25"/>
      <c r="W52" s="25"/>
      <c r="X52" s="25"/>
    </row>
    <row r="53" spans="1:24" ht="18.600000000000001" hidden="1" customHeight="1" x14ac:dyDescent="0.25">
      <c r="A53" s="25"/>
      <c r="B53" s="25"/>
      <c r="C53" s="29"/>
      <c r="D53" s="29"/>
      <c r="E53" s="29"/>
      <c r="F53" s="502"/>
      <c r="G53" s="56"/>
      <c r="H53" s="29"/>
      <c r="I53" s="29"/>
      <c r="J53" s="29"/>
      <c r="K53" s="29"/>
      <c r="L53" s="29"/>
      <c r="M53" s="25"/>
      <c r="N53" s="25"/>
      <c r="O53" s="25"/>
      <c r="P53" s="25"/>
      <c r="Q53" s="25"/>
      <c r="R53" s="25"/>
      <c r="S53" s="25"/>
      <c r="T53" s="25"/>
      <c r="U53" s="25"/>
      <c r="V53" s="25"/>
      <c r="W53" s="25"/>
      <c r="X53" s="25"/>
    </row>
    <row r="54" spans="1:24" ht="18" hidden="1" customHeight="1" x14ac:dyDescent="0.25">
      <c r="A54" s="25"/>
      <c r="B54" s="25"/>
      <c r="C54" s="29"/>
      <c r="D54" s="29"/>
      <c r="E54" s="29"/>
      <c r="F54" s="502"/>
      <c r="G54" s="56"/>
      <c r="H54" s="29"/>
      <c r="I54" s="29"/>
      <c r="J54" s="29"/>
      <c r="K54" s="29"/>
      <c r="L54" s="29"/>
      <c r="M54" s="25"/>
      <c r="N54" s="25"/>
      <c r="O54" s="25"/>
      <c r="P54" s="25"/>
      <c r="Q54" s="25"/>
      <c r="R54" s="25"/>
      <c r="S54" s="25"/>
      <c r="T54" s="25"/>
      <c r="U54" s="25"/>
      <c r="V54" s="25"/>
      <c r="W54" s="25"/>
      <c r="X54" s="25"/>
    </row>
    <row r="55" spans="1:24" ht="18.600000000000001" hidden="1" customHeight="1" x14ac:dyDescent="0.25">
      <c r="A55" s="25"/>
      <c r="B55" s="25"/>
      <c r="C55" s="29"/>
      <c r="D55" s="29"/>
      <c r="E55" s="29"/>
      <c r="F55" s="502"/>
      <c r="G55" s="56"/>
      <c r="H55" s="29"/>
      <c r="I55" s="29"/>
      <c r="J55" s="29"/>
      <c r="K55" s="29"/>
      <c r="L55" s="29"/>
      <c r="M55" s="25"/>
      <c r="N55" s="25"/>
      <c r="O55" s="25"/>
      <c r="P55" s="25"/>
      <c r="Q55" s="25"/>
      <c r="R55" s="25"/>
      <c r="S55" s="25"/>
      <c r="T55" s="25"/>
      <c r="U55" s="25"/>
      <c r="V55" s="25"/>
      <c r="W55" s="25"/>
      <c r="X55" s="25"/>
    </row>
    <row r="56" spans="1:24" ht="18.600000000000001" hidden="1" customHeight="1" x14ac:dyDescent="0.25">
      <c r="A56" s="25"/>
      <c r="B56" s="25"/>
      <c r="C56" s="29"/>
      <c r="D56" s="29"/>
      <c r="E56" s="29"/>
      <c r="F56" s="502"/>
      <c r="G56" s="56"/>
      <c r="H56" s="29"/>
      <c r="I56" s="29"/>
      <c r="J56" s="29"/>
      <c r="K56" s="29"/>
      <c r="L56" s="29"/>
      <c r="M56" s="25"/>
      <c r="N56" s="25"/>
      <c r="O56" s="25"/>
      <c r="P56" s="25"/>
      <c r="Q56" s="25"/>
      <c r="R56" s="25"/>
      <c r="S56" s="25"/>
      <c r="T56" s="25"/>
      <c r="U56" s="25"/>
      <c r="V56" s="25"/>
      <c r="W56" s="25"/>
      <c r="X56" s="25"/>
    </row>
    <row r="57" spans="1:24" ht="18" hidden="1" customHeight="1" x14ac:dyDescent="0.25">
      <c r="A57" s="25"/>
      <c r="B57" s="25"/>
      <c r="C57" s="29"/>
      <c r="D57" s="29"/>
      <c r="E57" s="29"/>
      <c r="F57" s="502"/>
      <c r="G57" s="56"/>
      <c r="H57" s="29"/>
      <c r="I57" s="29"/>
      <c r="J57" s="29"/>
      <c r="K57" s="29"/>
      <c r="L57" s="29"/>
      <c r="M57" s="25"/>
      <c r="N57" s="25"/>
      <c r="O57" s="25"/>
      <c r="P57" s="25"/>
      <c r="Q57" s="25"/>
      <c r="R57" s="25"/>
      <c r="S57" s="25"/>
      <c r="T57" s="25"/>
      <c r="U57" s="25"/>
      <c r="V57" s="25"/>
      <c r="W57" s="25"/>
      <c r="X57" s="25"/>
    </row>
    <row r="58" spans="1:24" ht="18.600000000000001" hidden="1" customHeight="1" x14ac:dyDescent="0.25">
      <c r="A58" s="25"/>
      <c r="B58" s="25"/>
      <c r="C58" s="29"/>
      <c r="D58" s="29"/>
      <c r="E58" s="29"/>
      <c r="F58" s="502"/>
      <c r="G58" s="56"/>
      <c r="H58" s="29"/>
      <c r="I58" s="29"/>
      <c r="J58" s="29"/>
      <c r="K58" s="29"/>
      <c r="L58" s="29"/>
      <c r="M58" s="25"/>
      <c r="N58" s="25"/>
      <c r="O58" s="25"/>
      <c r="P58" s="25"/>
      <c r="Q58" s="25"/>
      <c r="R58" s="25"/>
      <c r="S58" s="25"/>
      <c r="T58" s="25"/>
      <c r="U58" s="25"/>
      <c r="V58" s="25"/>
      <c r="W58" s="25"/>
      <c r="X58" s="25"/>
    </row>
    <row r="59" spans="1:24" ht="18.600000000000001" hidden="1" customHeight="1" x14ac:dyDescent="0.25">
      <c r="A59" s="25"/>
      <c r="B59" s="25"/>
      <c r="C59" s="29"/>
      <c r="D59" s="29"/>
      <c r="E59" s="29"/>
      <c r="F59" s="502"/>
      <c r="G59" s="56"/>
      <c r="H59" s="29"/>
      <c r="I59" s="29"/>
      <c r="J59" s="29"/>
      <c r="K59" s="29"/>
      <c r="L59" s="29"/>
      <c r="M59" s="25"/>
      <c r="N59" s="25"/>
      <c r="O59" s="25"/>
      <c r="P59" s="25"/>
      <c r="Q59" s="25"/>
      <c r="R59" s="25"/>
      <c r="S59" s="25"/>
      <c r="T59" s="25"/>
      <c r="U59" s="25"/>
      <c r="V59" s="25"/>
      <c r="W59" s="25"/>
      <c r="X59" s="25"/>
    </row>
    <row r="60" spans="1:24" ht="18.600000000000001" hidden="1" customHeight="1" x14ac:dyDescent="0.25">
      <c r="A60" s="25"/>
      <c r="B60" s="25"/>
      <c r="C60" s="29"/>
      <c r="D60" s="29"/>
      <c r="E60" s="29"/>
      <c r="F60" s="502"/>
      <c r="G60" s="56"/>
      <c r="H60" s="29"/>
      <c r="I60" s="29"/>
      <c r="J60" s="29"/>
      <c r="K60" s="29"/>
      <c r="L60" s="29"/>
      <c r="M60" s="25"/>
      <c r="N60" s="25"/>
      <c r="O60" s="25"/>
      <c r="P60" s="25"/>
      <c r="Q60" s="25"/>
      <c r="R60" s="25"/>
      <c r="S60" s="25"/>
      <c r="T60" s="25"/>
      <c r="U60" s="25"/>
      <c r="V60" s="25"/>
      <c r="W60" s="25"/>
      <c r="X60" s="25"/>
    </row>
    <row r="61" spans="1:24" ht="18.600000000000001" hidden="1" customHeight="1" x14ac:dyDescent="0.25">
      <c r="A61" s="25"/>
      <c r="B61" s="25"/>
      <c r="C61" s="29"/>
      <c r="D61" s="29"/>
      <c r="E61" s="29"/>
      <c r="F61" s="502"/>
      <c r="G61" s="56"/>
      <c r="H61" s="29"/>
      <c r="I61" s="29"/>
      <c r="J61" s="29"/>
      <c r="K61" s="29"/>
      <c r="L61" s="29"/>
      <c r="M61" s="25"/>
      <c r="N61" s="25"/>
      <c r="O61" s="25"/>
      <c r="P61" s="25"/>
      <c r="Q61" s="25"/>
      <c r="R61" s="25"/>
      <c r="S61" s="25"/>
      <c r="T61" s="25"/>
      <c r="U61" s="25"/>
      <c r="V61" s="25"/>
      <c r="W61" s="25"/>
      <c r="X61" s="25"/>
    </row>
    <row r="62" spans="1:24" ht="15.6" hidden="1" customHeight="1" x14ac:dyDescent="0.25">
      <c r="A62" s="25"/>
      <c r="B62" s="25"/>
      <c r="C62" s="29"/>
      <c r="D62" s="29"/>
      <c r="E62" s="29"/>
      <c r="F62" s="502"/>
      <c r="G62" s="56"/>
      <c r="H62" s="29"/>
      <c r="I62" s="29"/>
      <c r="J62" s="29"/>
      <c r="K62" s="29"/>
      <c r="L62" s="29"/>
      <c r="M62" s="25"/>
      <c r="N62" s="25"/>
      <c r="O62" s="25"/>
      <c r="P62" s="25"/>
      <c r="Q62" s="25"/>
      <c r="R62" s="25"/>
      <c r="S62" s="25"/>
      <c r="T62" s="25"/>
      <c r="U62" s="25"/>
      <c r="V62" s="25"/>
      <c r="W62" s="25"/>
      <c r="X62" s="25"/>
    </row>
    <row r="63" spans="1:24" ht="18" hidden="1" customHeight="1" x14ac:dyDescent="0.25">
      <c r="A63" s="25"/>
      <c r="B63" s="25"/>
      <c r="C63" s="29"/>
      <c r="D63" s="29"/>
      <c r="E63" s="29"/>
      <c r="F63" s="502"/>
      <c r="G63" s="56"/>
      <c r="H63" s="29"/>
      <c r="I63" s="29"/>
      <c r="J63" s="29"/>
      <c r="K63" s="29"/>
      <c r="L63" s="29"/>
      <c r="M63" s="25"/>
      <c r="N63" s="25"/>
      <c r="O63" s="25"/>
      <c r="P63" s="25"/>
      <c r="Q63" s="25"/>
      <c r="R63" s="25"/>
      <c r="S63" s="25"/>
      <c r="T63" s="25"/>
      <c r="U63" s="25"/>
      <c r="V63" s="25"/>
      <c r="W63" s="25"/>
      <c r="X63" s="25"/>
    </row>
    <row r="64" spans="1:24" ht="14.65" hidden="1" customHeight="1" x14ac:dyDescent="0.25">
      <c r="A64" s="25"/>
      <c r="B64" s="25"/>
      <c r="C64" s="29"/>
      <c r="D64" s="29"/>
      <c r="E64" s="29"/>
      <c r="F64" s="498"/>
      <c r="G64" s="129"/>
      <c r="H64" s="129"/>
      <c r="I64" s="129"/>
      <c r="J64" s="129"/>
      <c r="K64" s="25"/>
      <c r="L64" s="25"/>
      <c r="M64" s="25"/>
      <c r="N64" s="25"/>
      <c r="O64" s="25"/>
      <c r="P64" s="25"/>
      <c r="Q64" s="25"/>
      <c r="R64" s="25"/>
      <c r="S64" s="25"/>
      <c r="T64" s="25"/>
      <c r="U64" s="25"/>
      <c r="V64" s="25"/>
      <c r="W64" s="25"/>
      <c r="X64" s="25"/>
    </row>
    <row r="65" spans="1:24" ht="14.65" hidden="1" customHeight="1" x14ac:dyDescent="0.25">
      <c r="A65" s="25"/>
      <c r="B65" s="984" t="s">
        <v>293</v>
      </c>
      <c r="C65" s="162">
        <v>26000</v>
      </c>
      <c r="D65" s="29"/>
      <c r="E65" s="29"/>
      <c r="F65" s="498"/>
      <c r="G65" s="129"/>
      <c r="H65" s="129"/>
      <c r="I65" s="129"/>
      <c r="J65" s="129"/>
      <c r="K65" s="25"/>
      <c r="L65" s="25"/>
      <c r="M65" s="25"/>
      <c r="N65" s="25"/>
      <c r="O65" s="25"/>
      <c r="P65" s="25"/>
      <c r="Q65" s="25"/>
      <c r="R65" s="25"/>
      <c r="S65" s="25"/>
      <c r="T65" s="25"/>
      <c r="U65" s="25"/>
      <c r="V65" s="25"/>
      <c r="W65" s="25"/>
      <c r="X65" s="25"/>
    </row>
    <row r="66" spans="1:24" ht="14.65" hidden="1" customHeight="1" x14ac:dyDescent="0.25">
      <c r="A66" s="25"/>
      <c r="B66" s="984"/>
      <c r="C66" s="161"/>
      <c r="D66" s="25"/>
      <c r="E66" s="25"/>
      <c r="F66" s="498"/>
      <c r="G66" s="129"/>
      <c r="H66" s="129"/>
      <c r="I66" s="129"/>
      <c r="J66" s="129"/>
      <c r="K66" s="25"/>
      <c r="L66" s="25"/>
      <c r="M66" s="25"/>
      <c r="N66" s="25"/>
      <c r="O66" s="25"/>
      <c r="P66" s="25"/>
      <c r="Q66" s="25"/>
      <c r="R66" s="25"/>
      <c r="S66" s="25"/>
      <c r="T66" s="25"/>
      <c r="U66" s="25"/>
      <c r="V66" s="25"/>
      <c r="W66" s="25"/>
      <c r="X66" s="25"/>
    </row>
    <row r="67" spans="1:24" ht="14.65" hidden="1" customHeight="1" x14ac:dyDescent="0.25">
      <c r="A67" s="25"/>
      <c r="B67" s="985"/>
      <c r="C67" s="25"/>
      <c r="D67" s="25"/>
      <c r="E67" s="25"/>
      <c r="F67" s="498"/>
      <c r="G67" s="129"/>
      <c r="H67" s="129"/>
      <c r="I67" s="129"/>
      <c r="J67" s="129"/>
      <c r="K67" s="25"/>
      <c r="L67" s="25"/>
      <c r="M67" s="25"/>
      <c r="N67" s="25"/>
      <c r="O67" s="25"/>
      <c r="P67" s="25"/>
      <c r="Q67" s="25"/>
      <c r="R67" s="25"/>
      <c r="S67" s="25"/>
      <c r="T67" s="25"/>
      <c r="U67" s="25"/>
      <c r="V67" s="25"/>
      <c r="W67" s="25"/>
      <c r="X67" s="25"/>
    </row>
    <row r="68" spans="1:24" ht="14.65" hidden="1" customHeight="1" x14ac:dyDescent="0.25">
      <c r="A68" s="25"/>
      <c r="B68" s="985"/>
      <c r="C68" s="25"/>
      <c r="D68" s="25"/>
      <c r="E68" s="25"/>
      <c r="F68" s="498"/>
      <c r="G68" s="129"/>
      <c r="H68" s="129"/>
      <c r="I68" s="129"/>
      <c r="J68" s="129"/>
      <c r="K68" s="25"/>
      <c r="L68" s="25"/>
      <c r="M68" s="25"/>
      <c r="N68" s="25"/>
      <c r="O68" s="25"/>
      <c r="P68" s="25"/>
      <c r="Q68" s="25"/>
      <c r="R68" s="25"/>
      <c r="S68" s="25"/>
      <c r="T68" s="25"/>
      <c r="U68" s="25"/>
      <c r="V68" s="25"/>
      <c r="W68" s="25"/>
      <c r="X68" s="25"/>
    </row>
    <row r="69" spans="1:24" ht="14.65" hidden="1" customHeight="1" x14ac:dyDescent="0.25">
      <c r="A69" s="25"/>
      <c r="B69" s="25"/>
      <c r="C69" s="25"/>
      <c r="D69" s="25"/>
      <c r="E69" s="25"/>
      <c r="F69" s="498"/>
      <c r="G69" s="129"/>
      <c r="H69" s="129"/>
      <c r="I69" s="129"/>
      <c r="J69" s="129"/>
      <c r="K69" s="25"/>
      <c r="L69" s="25"/>
      <c r="M69" s="25"/>
      <c r="N69" s="25"/>
      <c r="O69" s="25"/>
      <c r="P69" s="25"/>
      <c r="Q69" s="25"/>
      <c r="R69" s="25"/>
      <c r="S69" s="25"/>
      <c r="T69" s="25"/>
      <c r="U69" s="25"/>
      <c r="V69" s="25"/>
      <c r="W69" s="25"/>
      <c r="X69" s="25"/>
    </row>
    <row r="70" spans="1:24" ht="14.65" hidden="1" customHeight="1" x14ac:dyDescent="0.25">
      <c r="A70" s="25"/>
      <c r="B70" s="25"/>
      <c r="C70" s="25"/>
      <c r="D70" s="25"/>
      <c r="E70" s="25"/>
      <c r="F70" s="498"/>
      <c r="G70" s="129"/>
      <c r="H70" s="129"/>
      <c r="I70" s="129"/>
      <c r="J70" s="129"/>
      <c r="K70" s="25"/>
      <c r="L70" s="25"/>
      <c r="M70" s="25"/>
      <c r="N70" s="25"/>
      <c r="O70" s="25"/>
      <c r="P70" s="25"/>
      <c r="Q70" s="25"/>
      <c r="R70" s="25"/>
      <c r="S70" s="25"/>
      <c r="T70" s="25"/>
      <c r="U70" s="25"/>
      <c r="V70" s="25"/>
      <c r="W70" s="25"/>
      <c r="X70" s="25"/>
    </row>
    <row r="71" spans="1:24" ht="14.65" hidden="1" customHeight="1" x14ac:dyDescent="0.25"/>
    <row r="72" spans="1:24" ht="14.65" hidden="1" customHeight="1" x14ac:dyDescent="0.25"/>
    <row r="73" spans="1:24" ht="14.65" hidden="1" customHeight="1" x14ac:dyDescent="0.25"/>
    <row r="74" spans="1:24" ht="14.65" hidden="1" customHeight="1" x14ac:dyDescent="0.25"/>
  </sheetData>
  <sheetProtection algorithmName="SHA-512" hashValue="CPWHtAMF7SpnvrSWv0Sibkx3QVUJmsj+Ii7g8fJDF6Cc3cwRYHkCPqCssri2ubNlRlpAjOubpKNTS7vGtFyCeQ==" saltValue="zAp2uNto8KEFoOhQkgDSfg=="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41" orientation="landscape"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ColWidth="0" defaultRowHeight="15" zeroHeight="1" x14ac:dyDescent="0.25"/>
  <cols>
    <col min="1" max="2" width="8.7109375" customWidth="1"/>
    <col min="3" max="3" width="78.5703125" bestFit="1" customWidth="1"/>
    <col min="4" max="4" width="28.5703125" style="18" customWidth="1"/>
    <col min="5" max="5" width="14.42578125" hidden="1" customWidth="1"/>
    <col min="6" max="6" width="18.42578125" hidden="1" customWidth="1"/>
    <col min="7" max="7" width="15.7109375" style="18" customWidth="1"/>
    <col min="8" max="8" width="34.5703125" style="20" customWidth="1"/>
    <col min="9" max="9" width="13" customWidth="1"/>
    <col min="10" max="10" width="12.7109375" bestFit="1" customWidth="1"/>
    <col min="11" max="11" width="23.7109375" hidden="1" customWidth="1"/>
    <col min="12" max="25" width="8.7109375" customWidth="1"/>
    <col min="26" max="16384" width="8.7109375" hidden="1"/>
  </cols>
  <sheetData>
    <row r="1" spans="1:25" ht="26.1" customHeight="1" thickBot="1" x14ac:dyDescent="0.3">
      <c r="A1" s="25"/>
      <c r="B1" s="1007" t="s">
        <v>294</v>
      </c>
      <c r="C1" s="1008"/>
      <c r="D1" s="1008"/>
      <c r="E1" s="1008"/>
      <c r="F1" s="1008"/>
      <c r="G1" s="1008"/>
      <c r="H1" s="1008"/>
      <c r="I1" s="1008"/>
      <c r="J1" s="1009"/>
      <c r="K1" s="223">
        <v>9</v>
      </c>
      <c r="L1" s="25"/>
      <c r="M1" s="25"/>
      <c r="N1" s="25"/>
      <c r="O1" s="25"/>
      <c r="P1" s="25"/>
      <c r="Q1" s="25"/>
      <c r="R1" s="25"/>
      <c r="S1" s="25"/>
      <c r="T1" s="25"/>
      <c r="U1" s="25"/>
      <c r="V1" s="25"/>
      <c r="W1" s="25"/>
      <c r="X1" s="25"/>
      <c r="Y1" s="25"/>
    </row>
    <row r="2" spans="1:25" ht="18.75" x14ac:dyDescent="0.3">
      <c r="A2" s="25"/>
      <c r="B2" s="1005" t="s">
        <v>58</v>
      </c>
      <c r="C2" s="1002" t="s">
        <v>267</v>
      </c>
      <c r="D2" s="1002"/>
      <c r="E2" s="1002"/>
      <c r="F2" s="1002"/>
      <c r="G2" s="1003" t="s">
        <v>94</v>
      </c>
      <c r="H2" s="1003"/>
      <c r="I2" s="1004" t="s">
        <v>295</v>
      </c>
      <c r="J2" s="1004"/>
      <c r="K2" s="130" t="s">
        <v>296</v>
      </c>
      <c r="L2" s="25"/>
      <c r="M2" s="25"/>
      <c r="N2" s="25"/>
      <c r="O2" s="25"/>
      <c r="P2" s="25"/>
      <c r="Q2" s="25"/>
      <c r="R2" s="25"/>
      <c r="S2" s="25"/>
      <c r="T2" s="25"/>
      <c r="U2" s="25"/>
      <c r="V2" s="25"/>
      <c r="W2" s="25"/>
      <c r="X2" s="25"/>
      <c r="Y2" s="25"/>
    </row>
    <row r="3" spans="1:25" ht="60" x14ac:dyDescent="0.25">
      <c r="A3" s="25"/>
      <c r="B3" s="1006"/>
      <c r="C3" s="131" t="s">
        <v>267</v>
      </c>
      <c r="D3" s="131" t="s">
        <v>297</v>
      </c>
      <c r="E3" s="131" t="s">
        <v>298</v>
      </c>
      <c r="F3" s="131" t="s">
        <v>299</v>
      </c>
      <c r="G3" s="280" t="s">
        <v>300</v>
      </c>
      <c r="H3" s="280" t="s">
        <v>301</v>
      </c>
      <c r="I3" s="62" t="s">
        <v>302</v>
      </c>
      <c r="J3" s="62" t="s">
        <v>303</v>
      </c>
      <c r="K3" s="132" t="s">
        <v>304</v>
      </c>
      <c r="L3" s="25"/>
      <c r="M3" s="25"/>
      <c r="N3" s="25"/>
      <c r="O3" s="25"/>
      <c r="P3" s="25"/>
      <c r="Q3" s="25"/>
      <c r="R3" s="25"/>
      <c r="S3" s="25"/>
      <c r="T3" s="25"/>
      <c r="U3" s="25"/>
      <c r="V3" s="25"/>
      <c r="W3" s="25"/>
      <c r="X3" s="25"/>
      <c r="Y3" s="25"/>
    </row>
    <row r="4" spans="1:25" ht="30" x14ac:dyDescent="0.25">
      <c r="A4" s="25"/>
      <c r="B4" s="7">
        <v>1</v>
      </c>
      <c r="C4" s="7" t="s">
        <v>305</v>
      </c>
      <c r="D4" s="7" t="s">
        <v>211</v>
      </c>
      <c r="E4" s="7"/>
      <c r="F4" s="7"/>
      <c r="G4" s="9" t="s">
        <v>214</v>
      </c>
      <c r="H4" s="9" t="s">
        <v>306</v>
      </c>
      <c r="I4" s="9" t="s">
        <v>212</v>
      </c>
      <c r="J4" s="9" t="s">
        <v>212</v>
      </c>
      <c r="K4" s="7" t="s">
        <v>212</v>
      </c>
      <c r="L4" s="25"/>
      <c r="M4" s="25"/>
      <c r="N4" s="25"/>
      <c r="O4" s="25"/>
      <c r="P4" s="25"/>
      <c r="Q4" s="25"/>
      <c r="R4" s="25"/>
      <c r="S4" s="25"/>
      <c r="T4" s="25"/>
      <c r="U4" s="25"/>
      <c r="V4" s="25"/>
      <c r="W4" s="25"/>
      <c r="X4" s="25"/>
      <c r="Y4" s="25"/>
    </row>
    <row r="5" spans="1:25" ht="30" x14ac:dyDescent="0.25">
      <c r="A5" s="25"/>
      <c r="B5" s="7">
        <v>2</v>
      </c>
      <c r="C5" s="7" t="s">
        <v>307</v>
      </c>
      <c r="D5" s="7" t="s">
        <v>211</v>
      </c>
      <c r="E5" s="7"/>
      <c r="F5" s="7"/>
      <c r="G5" s="9" t="s">
        <v>214</v>
      </c>
      <c r="H5" s="9" t="s">
        <v>306</v>
      </c>
      <c r="I5" s="9" t="s">
        <v>212</v>
      </c>
      <c r="J5" s="9" t="s">
        <v>212</v>
      </c>
      <c r="K5" s="7" t="s">
        <v>212</v>
      </c>
      <c r="L5" s="25"/>
      <c r="M5" s="25"/>
      <c r="N5" s="25"/>
      <c r="O5" s="25"/>
      <c r="P5" s="25"/>
      <c r="Q5" s="25"/>
      <c r="R5" s="25"/>
      <c r="S5" s="25"/>
      <c r="T5" s="25"/>
      <c r="U5" s="25"/>
      <c r="V5" s="25"/>
      <c r="W5" s="25"/>
      <c r="X5" s="25"/>
      <c r="Y5" s="25"/>
    </row>
    <row r="6" spans="1:25" ht="30" x14ac:dyDescent="0.25">
      <c r="A6" s="25"/>
      <c r="B6" s="7">
        <v>3</v>
      </c>
      <c r="C6" s="7" t="s">
        <v>308</v>
      </c>
      <c r="D6" s="7" t="s">
        <v>211</v>
      </c>
      <c r="E6" s="7"/>
      <c r="F6" s="7"/>
      <c r="G6" s="9" t="s">
        <v>214</v>
      </c>
      <c r="H6" s="9" t="s">
        <v>306</v>
      </c>
      <c r="I6" s="9" t="s">
        <v>212</v>
      </c>
      <c r="J6" s="9" t="s">
        <v>212</v>
      </c>
      <c r="K6" s="7" t="s">
        <v>212</v>
      </c>
      <c r="L6" s="25"/>
      <c r="M6" s="25"/>
      <c r="N6" s="25"/>
      <c r="O6" s="25"/>
      <c r="P6" s="25"/>
      <c r="Q6" s="25"/>
      <c r="R6" s="25"/>
      <c r="S6" s="25"/>
      <c r="T6" s="25"/>
      <c r="U6" s="25"/>
      <c r="V6" s="25"/>
      <c r="W6" s="25"/>
      <c r="X6" s="25"/>
      <c r="Y6" s="25"/>
    </row>
    <row r="7" spans="1:25" ht="30" x14ac:dyDescent="0.25">
      <c r="A7" s="25"/>
      <c r="B7" s="7">
        <v>4</v>
      </c>
      <c r="C7" s="7" t="s">
        <v>309</v>
      </c>
      <c r="D7" s="7" t="s">
        <v>211</v>
      </c>
      <c r="E7" s="7"/>
      <c r="F7" s="7"/>
      <c r="G7" s="9" t="s">
        <v>214</v>
      </c>
      <c r="H7" s="9" t="s">
        <v>306</v>
      </c>
      <c r="I7" s="9" t="s">
        <v>212</v>
      </c>
      <c r="J7" s="9" t="s">
        <v>212</v>
      </c>
      <c r="K7" s="7" t="s">
        <v>212</v>
      </c>
      <c r="L7" s="25"/>
      <c r="M7" s="25"/>
      <c r="N7" s="25"/>
      <c r="O7" s="25"/>
      <c r="P7" s="25"/>
      <c r="Q7" s="25"/>
      <c r="R7" s="25"/>
      <c r="S7" s="25"/>
      <c r="T7" s="25"/>
      <c r="U7" s="25"/>
      <c r="V7" s="25"/>
      <c r="W7" s="25"/>
      <c r="X7" s="25"/>
      <c r="Y7" s="25"/>
    </row>
    <row r="8" spans="1:25" ht="30" x14ac:dyDescent="0.25">
      <c r="A8" s="25"/>
      <c r="B8" s="7">
        <v>5</v>
      </c>
      <c r="C8" s="7" t="s">
        <v>310</v>
      </c>
      <c r="D8" s="7" t="s">
        <v>211</v>
      </c>
      <c r="E8" s="7"/>
      <c r="F8" s="7"/>
      <c r="G8" s="9" t="s">
        <v>212</v>
      </c>
      <c r="H8" s="9" t="s">
        <v>311</v>
      </c>
      <c r="I8" s="9" t="s">
        <v>212</v>
      </c>
      <c r="J8" s="9" t="s">
        <v>212</v>
      </c>
      <c r="K8" s="7" t="s">
        <v>212</v>
      </c>
      <c r="L8" s="25"/>
      <c r="M8" s="25"/>
      <c r="N8" s="25"/>
      <c r="O8" s="25"/>
      <c r="P8" s="25"/>
      <c r="Q8" s="25"/>
      <c r="R8" s="25"/>
      <c r="S8" s="25"/>
      <c r="T8" s="25"/>
      <c r="U8" s="25"/>
      <c r="V8" s="25"/>
      <c r="W8" s="25"/>
      <c r="X8" s="25"/>
      <c r="Y8" s="25"/>
    </row>
    <row r="9" spans="1:25" ht="30" x14ac:dyDescent="0.25">
      <c r="A9" s="25"/>
      <c r="B9" s="7">
        <f>B8+1</f>
        <v>6</v>
      </c>
      <c r="C9" s="7" t="s">
        <v>312</v>
      </c>
      <c r="D9" s="7" t="s">
        <v>211</v>
      </c>
      <c r="E9" s="7"/>
      <c r="F9" s="7"/>
      <c r="G9" s="9" t="s">
        <v>212</v>
      </c>
      <c r="H9" s="9" t="s">
        <v>311</v>
      </c>
      <c r="I9" s="9" t="s">
        <v>212</v>
      </c>
      <c r="J9" s="9" t="s">
        <v>212</v>
      </c>
      <c r="K9" s="7" t="s">
        <v>212</v>
      </c>
      <c r="L9" s="25"/>
      <c r="M9" s="25"/>
      <c r="N9" s="25"/>
      <c r="O9" s="25"/>
      <c r="P9" s="25"/>
      <c r="Q9" s="25"/>
      <c r="R9" s="25"/>
      <c r="S9" s="25"/>
      <c r="T9" s="25"/>
      <c r="U9" s="25"/>
      <c r="V9" s="25"/>
      <c r="W9" s="25"/>
      <c r="X9" s="25"/>
      <c r="Y9" s="25"/>
    </row>
    <row r="10" spans="1:25" ht="30" x14ac:dyDescent="0.25">
      <c r="A10" s="25"/>
      <c r="B10" s="7">
        <f t="shared" ref="B10:B76" si="0">B9+1</f>
        <v>7</v>
      </c>
      <c r="C10" s="7" t="s">
        <v>313</v>
      </c>
      <c r="D10" s="7" t="s">
        <v>211</v>
      </c>
      <c r="E10" s="7"/>
      <c r="F10" s="7"/>
      <c r="G10" s="9" t="s">
        <v>212</v>
      </c>
      <c r="H10" s="9" t="s">
        <v>311</v>
      </c>
      <c r="I10" s="9" t="s">
        <v>212</v>
      </c>
      <c r="J10" s="9" t="s">
        <v>212</v>
      </c>
      <c r="K10" s="7" t="s">
        <v>212</v>
      </c>
      <c r="L10" s="25"/>
      <c r="M10" s="25"/>
      <c r="N10" s="25"/>
      <c r="O10" s="25"/>
      <c r="P10" s="25"/>
      <c r="Q10" s="25"/>
      <c r="R10" s="25"/>
      <c r="S10" s="25"/>
      <c r="T10" s="25"/>
      <c r="U10" s="25"/>
      <c r="V10" s="25"/>
      <c r="W10" s="25"/>
      <c r="X10" s="25"/>
      <c r="Y10" s="25"/>
    </row>
    <row r="11" spans="1:25" ht="30" x14ac:dyDescent="0.25">
      <c r="A11" s="25"/>
      <c r="B11" s="7">
        <f t="shared" si="0"/>
        <v>8</v>
      </c>
      <c r="C11" s="7" t="s">
        <v>314</v>
      </c>
      <c r="D11" s="7" t="s">
        <v>211</v>
      </c>
      <c r="E11" s="7"/>
      <c r="F11" s="7"/>
      <c r="G11" s="9" t="s">
        <v>212</v>
      </c>
      <c r="H11" s="9" t="s">
        <v>311</v>
      </c>
      <c r="I11" s="9" t="s">
        <v>212</v>
      </c>
      <c r="J11" s="9" t="s">
        <v>212</v>
      </c>
      <c r="K11" s="7" t="s">
        <v>212</v>
      </c>
      <c r="L11" s="25"/>
      <c r="M11" s="25"/>
      <c r="N11" s="25"/>
      <c r="O11" s="25"/>
      <c r="P11" s="25"/>
      <c r="Q11" s="25"/>
      <c r="R11" s="25"/>
      <c r="S11" s="25"/>
      <c r="T11" s="25"/>
      <c r="U11" s="25"/>
      <c r="V11" s="25"/>
      <c r="W11" s="25"/>
      <c r="X11" s="25"/>
      <c r="Y11" s="25"/>
    </row>
    <row r="12" spans="1:25" ht="30" x14ac:dyDescent="0.25">
      <c r="A12" s="25"/>
      <c r="B12" s="7">
        <f t="shared" si="0"/>
        <v>9</v>
      </c>
      <c r="C12" s="7" t="s">
        <v>315</v>
      </c>
      <c r="D12" s="7" t="s">
        <v>211</v>
      </c>
      <c r="E12" s="7"/>
      <c r="F12" s="7"/>
      <c r="G12" s="9" t="s">
        <v>212</v>
      </c>
      <c r="H12" s="9" t="s">
        <v>311</v>
      </c>
      <c r="I12" s="9" t="s">
        <v>212</v>
      </c>
      <c r="J12" s="9" t="s">
        <v>212</v>
      </c>
      <c r="K12" s="7" t="s">
        <v>212</v>
      </c>
      <c r="L12" s="25"/>
      <c r="M12" s="25"/>
      <c r="N12" s="25"/>
      <c r="O12" s="25"/>
      <c r="P12" s="25"/>
      <c r="Q12" s="25"/>
      <c r="R12" s="25"/>
      <c r="S12" s="25"/>
      <c r="T12" s="25"/>
      <c r="U12" s="25"/>
      <c r="V12" s="25"/>
      <c r="W12" s="25"/>
      <c r="X12" s="25"/>
      <c r="Y12" s="25"/>
    </row>
    <row r="13" spans="1:25" ht="30" x14ac:dyDescent="0.25">
      <c r="A13" s="25"/>
      <c r="B13" s="7">
        <f t="shared" si="0"/>
        <v>10</v>
      </c>
      <c r="C13" s="7" t="s">
        <v>316</v>
      </c>
      <c r="D13" s="7" t="s">
        <v>211</v>
      </c>
      <c r="E13" s="7"/>
      <c r="F13" s="7"/>
      <c r="G13" s="9" t="s">
        <v>212</v>
      </c>
      <c r="H13" s="9" t="s">
        <v>311</v>
      </c>
      <c r="I13" s="9" t="s">
        <v>212</v>
      </c>
      <c r="J13" s="9" t="s">
        <v>212</v>
      </c>
      <c r="K13" s="7" t="s">
        <v>212</v>
      </c>
      <c r="L13" s="25"/>
      <c r="M13" s="25"/>
      <c r="N13" s="25"/>
      <c r="O13" s="25"/>
      <c r="P13" s="25"/>
      <c r="Q13" s="25"/>
      <c r="R13" s="25"/>
      <c r="S13" s="25"/>
      <c r="T13" s="25"/>
      <c r="U13" s="25"/>
      <c r="V13" s="25"/>
      <c r="W13" s="25"/>
      <c r="X13" s="25"/>
      <c r="Y13" s="25"/>
    </row>
    <row r="14" spans="1:25" ht="30" x14ac:dyDescent="0.25">
      <c r="A14" s="25"/>
      <c r="B14" s="7">
        <f t="shared" si="0"/>
        <v>11</v>
      </c>
      <c r="C14" s="7" t="s">
        <v>317</v>
      </c>
      <c r="D14" s="7" t="s">
        <v>215</v>
      </c>
      <c r="E14" s="7"/>
      <c r="F14" s="7"/>
      <c r="G14" s="9" t="s">
        <v>212</v>
      </c>
      <c r="H14" s="9" t="s">
        <v>311</v>
      </c>
      <c r="I14" s="9" t="s">
        <v>212</v>
      </c>
      <c r="J14" s="9" t="s">
        <v>212</v>
      </c>
      <c r="K14" s="7" t="s">
        <v>212</v>
      </c>
      <c r="L14" s="25"/>
      <c r="M14" s="25"/>
      <c r="N14" s="25"/>
      <c r="O14" s="25"/>
      <c r="P14" s="25"/>
      <c r="Q14" s="25"/>
      <c r="R14" s="25"/>
      <c r="S14" s="25"/>
      <c r="T14" s="25"/>
      <c r="U14" s="25"/>
      <c r="V14" s="25"/>
      <c r="W14" s="25"/>
      <c r="X14" s="25"/>
      <c r="Y14" s="25"/>
    </row>
    <row r="15" spans="1:25" ht="30" x14ac:dyDescent="0.25">
      <c r="A15" s="25"/>
      <c r="B15" s="7">
        <f t="shared" si="0"/>
        <v>12</v>
      </c>
      <c r="C15" s="7" t="s">
        <v>318</v>
      </c>
      <c r="D15" s="7" t="s">
        <v>215</v>
      </c>
      <c r="E15" s="7"/>
      <c r="F15" s="7"/>
      <c r="G15" s="9" t="s">
        <v>212</v>
      </c>
      <c r="H15" s="9" t="s">
        <v>311</v>
      </c>
      <c r="I15" s="9" t="s">
        <v>212</v>
      </c>
      <c r="J15" s="9" t="s">
        <v>212</v>
      </c>
      <c r="K15" s="7" t="s">
        <v>212</v>
      </c>
      <c r="L15" s="25"/>
      <c r="M15" s="25"/>
      <c r="N15" s="25"/>
      <c r="O15" s="25"/>
      <c r="P15" s="25"/>
      <c r="Q15" s="25"/>
      <c r="R15" s="25"/>
      <c r="S15" s="25"/>
      <c r="T15" s="25"/>
      <c r="U15" s="25"/>
      <c r="V15" s="25"/>
      <c r="W15" s="25"/>
      <c r="X15" s="25"/>
      <c r="Y15" s="25"/>
    </row>
    <row r="16" spans="1:25" ht="30" x14ac:dyDescent="0.25">
      <c r="A16" s="25"/>
      <c r="B16" s="7">
        <f t="shared" si="0"/>
        <v>13</v>
      </c>
      <c r="C16" s="7" t="s">
        <v>319</v>
      </c>
      <c r="D16" s="7" t="s">
        <v>215</v>
      </c>
      <c r="E16" s="7"/>
      <c r="F16" s="7"/>
      <c r="G16" s="9" t="s">
        <v>214</v>
      </c>
      <c r="H16" s="9" t="s">
        <v>306</v>
      </c>
      <c r="I16" s="9" t="s">
        <v>212</v>
      </c>
      <c r="J16" s="9" t="s">
        <v>212</v>
      </c>
      <c r="K16" s="7" t="s">
        <v>212</v>
      </c>
      <c r="L16" s="25"/>
      <c r="M16" s="25"/>
      <c r="N16" s="25"/>
      <c r="O16" s="25"/>
      <c r="P16" s="25"/>
      <c r="Q16" s="25"/>
      <c r="R16" s="25"/>
      <c r="S16" s="25"/>
      <c r="T16" s="25"/>
      <c r="U16" s="25"/>
      <c r="V16" s="25"/>
      <c r="W16" s="25"/>
      <c r="X16" s="25"/>
      <c r="Y16" s="25"/>
    </row>
    <row r="17" spans="1:25" ht="30" x14ac:dyDescent="0.25">
      <c r="A17" s="25"/>
      <c r="B17" s="7">
        <f t="shared" si="0"/>
        <v>14</v>
      </c>
      <c r="C17" s="7" t="s">
        <v>320</v>
      </c>
      <c r="D17" s="7" t="s">
        <v>215</v>
      </c>
      <c r="E17" s="7"/>
      <c r="F17" s="7"/>
      <c r="G17" s="9" t="s">
        <v>214</v>
      </c>
      <c r="H17" s="9" t="s">
        <v>306</v>
      </c>
      <c r="I17" s="9" t="s">
        <v>212</v>
      </c>
      <c r="J17" s="9" t="s">
        <v>212</v>
      </c>
      <c r="K17" s="7" t="s">
        <v>212</v>
      </c>
      <c r="L17" s="25"/>
      <c r="M17" s="25"/>
      <c r="N17" s="25"/>
      <c r="O17" s="25"/>
      <c r="P17" s="25"/>
      <c r="Q17" s="25"/>
      <c r="R17" s="25"/>
      <c r="S17" s="25"/>
      <c r="T17" s="25"/>
      <c r="U17" s="25"/>
      <c r="V17" s="25"/>
      <c r="W17" s="25"/>
      <c r="X17" s="25"/>
      <c r="Y17" s="25"/>
    </row>
    <row r="18" spans="1:25" ht="30" x14ac:dyDescent="0.25">
      <c r="A18" s="25"/>
      <c r="B18" s="7">
        <f t="shared" si="0"/>
        <v>15</v>
      </c>
      <c r="C18" s="7" t="s">
        <v>321</v>
      </c>
      <c r="D18" s="7" t="s">
        <v>215</v>
      </c>
      <c r="E18" s="7"/>
      <c r="F18" s="7"/>
      <c r="G18" s="9" t="s">
        <v>214</v>
      </c>
      <c r="H18" s="9" t="s">
        <v>306</v>
      </c>
      <c r="I18" s="9" t="s">
        <v>212</v>
      </c>
      <c r="J18" s="9" t="s">
        <v>212</v>
      </c>
      <c r="K18" s="7" t="s">
        <v>212</v>
      </c>
      <c r="L18" s="25"/>
      <c r="M18" s="25"/>
      <c r="N18" s="25"/>
      <c r="O18" s="25"/>
      <c r="P18" s="25"/>
      <c r="Q18" s="25"/>
      <c r="R18" s="25"/>
      <c r="S18" s="25"/>
      <c r="T18" s="25"/>
      <c r="U18" s="25"/>
      <c r="V18" s="25"/>
      <c r="W18" s="25"/>
      <c r="X18" s="25"/>
      <c r="Y18" s="25"/>
    </row>
    <row r="19" spans="1:25" ht="30" x14ac:dyDescent="0.25">
      <c r="A19" s="25"/>
      <c r="B19" s="7">
        <f t="shared" si="0"/>
        <v>16</v>
      </c>
      <c r="C19" s="7" t="s">
        <v>322</v>
      </c>
      <c r="D19" s="7" t="s">
        <v>216</v>
      </c>
      <c r="E19" s="7"/>
      <c r="F19" s="7"/>
      <c r="G19" s="9" t="s">
        <v>214</v>
      </c>
      <c r="H19" s="9" t="s">
        <v>306</v>
      </c>
      <c r="I19" s="9" t="s">
        <v>212</v>
      </c>
      <c r="J19" s="9" t="s">
        <v>212</v>
      </c>
      <c r="K19" s="7" t="s">
        <v>212</v>
      </c>
      <c r="L19" s="25"/>
      <c r="M19" s="25"/>
      <c r="N19" s="25"/>
      <c r="O19" s="25"/>
      <c r="P19" s="25"/>
      <c r="Q19" s="25"/>
      <c r="R19" s="25"/>
      <c r="S19" s="25"/>
      <c r="T19" s="25"/>
      <c r="U19" s="25"/>
      <c r="V19" s="25"/>
      <c r="W19" s="25"/>
      <c r="X19" s="25"/>
      <c r="Y19" s="25"/>
    </row>
    <row r="20" spans="1:25" ht="30" x14ac:dyDescent="0.25">
      <c r="A20" s="25"/>
      <c r="B20" s="7">
        <f t="shared" si="0"/>
        <v>17</v>
      </c>
      <c r="C20" s="7" t="s">
        <v>323</v>
      </c>
      <c r="D20" s="7" t="s">
        <v>216</v>
      </c>
      <c r="E20" s="7"/>
      <c r="F20" s="7"/>
      <c r="G20" s="9" t="s">
        <v>214</v>
      </c>
      <c r="H20" s="9" t="s">
        <v>306</v>
      </c>
      <c r="I20" s="9" t="s">
        <v>212</v>
      </c>
      <c r="J20" s="9" t="s">
        <v>212</v>
      </c>
      <c r="K20" s="7" t="s">
        <v>212</v>
      </c>
      <c r="L20" s="25"/>
      <c r="M20" s="25"/>
      <c r="N20" s="25"/>
      <c r="O20" s="25"/>
      <c r="P20" s="25"/>
      <c r="Q20" s="25"/>
      <c r="R20" s="25"/>
      <c r="S20" s="25"/>
      <c r="T20" s="25"/>
      <c r="U20" s="25"/>
      <c r="V20" s="25"/>
      <c r="W20" s="25"/>
      <c r="X20" s="25"/>
      <c r="Y20" s="25"/>
    </row>
    <row r="21" spans="1:25" ht="30" x14ac:dyDescent="0.25">
      <c r="A21" s="25"/>
      <c r="B21" s="7">
        <f t="shared" si="0"/>
        <v>18</v>
      </c>
      <c r="C21" s="7" t="s">
        <v>324</v>
      </c>
      <c r="D21" s="7" t="s">
        <v>216</v>
      </c>
      <c r="E21" s="7"/>
      <c r="F21" s="7"/>
      <c r="G21" s="9" t="s">
        <v>214</v>
      </c>
      <c r="H21" s="9" t="s">
        <v>306</v>
      </c>
      <c r="I21" s="9" t="s">
        <v>212</v>
      </c>
      <c r="J21" s="9" t="s">
        <v>212</v>
      </c>
      <c r="K21" s="7" t="s">
        <v>212</v>
      </c>
      <c r="L21" s="25"/>
      <c r="M21" s="25"/>
      <c r="N21" s="25"/>
      <c r="O21" s="25"/>
      <c r="P21" s="25"/>
      <c r="Q21" s="25"/>
      <c r="R21" s="25"/>
      <c r="S21" s="25"/>
      <c r="T21" s="25"/>
      <c r="U21" s="25"/>
      <c r="V21" s="25"/>
      <c r="W21" s="25"/>
      <c r="X21" s="25"/>
      <c r="Y21" s="25"/>
    </row>
    <row r="22" spans="1:25" ht="30" x14ac:dyDescent="0.25">
      <c r="A22" s="25"/>
      <c r="B22" s="7">
        <f t="shared" si="0"/>
        <v>19</v>
      </c>
      <c r="C22" s="7" t="s">
        <v>325</v>
      </c>
      <c r="D22" s="7" t="s">
        <v>216</v>
      </c>
      <c r="E22" s="7"/>
      <c r="F22" s="7"/>
      <c r="G22" s="9" t="s">
        <v>214</v>
      </c>
      <c r="H22" s="9" t="s">
        <v>306</v>
      </c>
      <c r="I22" s="9" t="s">
        <v>212</v>
      </c>
      <c r="J22" s="9" t="s">
        <v>212</v>
      </c>
      <c r="K22" s="7" t="s">
        <v>212</v>
      </c>
      <c r="L22" s="25"/>
      <c r="M22" s="25"/>
      <c r="N22" s="25"/>
      <c r="O22" s="25"/>
      <c r="P22" s="25"/>
      <c r="Q22" s="25"/>
      <c r="R22" s="25"/>
      <c r="S22" s="25"/>
      <c r="T22" s="25"/>
      <c r="U22" s="25"/>
      <c r="V22" s="25"/>
      <c r="W22" s="25"/>
      <c r="X22" s="25"/>
      <c r="Y22" s="25"/>
    </row>
    <row r="23" spans="1:25" ht="30" x14ac:dyDescent="0.25">
      <c r="A23" s="25"/>
      <c r="B23" s="7">
        <f t="shared" si="0"/>
        <v>20</v>
      </c>
      <c r="C23" s="7" t="s">
        <v>326</v>
      </c>
      <c r="D23" s="7" t="s">
        <v>216</v>
      </c>
      <c r="E23" s="7"/>
      <c r="F23" s="7"/>
      <c r="G23" s="9" t="s">
        <v>214</v>
      </c>
      <c r="H23" s="9" t="s">
        <v>306</v>
      </c>
      <c r="I23" s="9" t="s">
        <v>214</v>
      </c>
      <c r="J23" s="9" t="s">
        <v>212</v>
      </c>
      <c r="K23" s="7" t="s">
        <v>212</v>
      </c>
      <c r="L23" s="25"/>
      <c r="M23" s="25"/>
      <c r="N23" s="25"/>
      <c r="O23" s="25"/>
      <c r="P23" s="25"/>
      <c r="Q23" s="25"/>
      <c r="R23" s="25"/>
      <c r="S23" s="25"/>
      <c r="T23" s="25"/>
      <c r="U23" s="25"/>
      <c r="V23" s="25"/>
      <c r="W23" s="25"/>
      <c r="X23" s="25"/>
      <c r="Y23" s="25"/>
    </row>
    <row r="24" spans="1:25" ht="30" x14ac:dyDescent="0.25">
      <c r="A24" s="25"/>
      <c r="B24" s="7">
        <f t="shared" si="0"/>
        <v>21</v>
      </c>
      <c r="C24" s="7" t="s">
        <v>327</v>
      </c>
      <c r="D24" s="7" t="s">
        <v>216</v>
      </c>
      <c r="E24" s="7"/>
      <c r="F24" s="7"/>
      <c r="G24" s="9" t="s">
        <v>214</v>
      </c>
      <c r="H24" s="9" t="s">
        <v>306</v>
      </c>
      <c r="I24" s="9" t="s">
        <v>212</v>
      </c>
      <c r="J24" s="9" t="s">
        <v>212</v>
      </c>
      <c r="K24" s="7" t="s">
        <v>212</v>
      </c>
      <c r="L24" s="25"/>
      <c r="M24" s="25"/>
      <c r="N24" s="25"/>
      <c r="O24" s="25"/>
      <c r="P24" s="25"/>
      <c r="Q24" s="25"/>
      <c r="R24" s="25"/>
      <c r="S24" s="25"/>
      <c r="T24" s="25"/>
      <c r="U24" s="25"/>
      <c r="V24" s="25"/>
      <c r="W24" s="25"/>
      <c r="X24" s="25"/>
      <c r="Y24" s="25"/>
    </row>
    <row r="25" spans="1:25" ht="30" x14ac:dyDescent="0.25">
      <c r="A25" s="25"/>
      <c r="B25" s="7">
        <f t="shared" si="0"/>
        <v>22</v>
      </c>
      <c r="C25" s="7" t="s">
        <v>328</v>
      </c>
      <c r="D25" s="7" t="s">
        <v>216</v>
      </c>
      <c r="E25" s="7"/>
      <c r="F25" s="7"/>
      <c r="G25" s="9" t="s">
        <v>212</v>
      </c>
      <c r="H25" s="9" t="s">
        <v>311</v>
      </c>
      <c r="I25" s="9" t="s">
        <v>212</v>
      </c>
      <c r="J25" s="9" t="s">
        <v>212</v>
      </c>
      <c r="K25" s="7" t="s">
        <v>212</v>
      </c>
      <c r="L25" s="25"/>
      <c r="M25" s="25"/>
      <c r="N25" s="25"/>
      <c r="O25" s="25"/>
      <c r="P25" s="25"/>
      <c r="Q25" s="25"/>
      <c r="R25" s="25"/>
      <c r="S25" s="25"/>
      <c r="T25" s="25"/>
      <c r="U25" s="25"/>
      <c r="V25" s="25"/>
      <c r="W25" s="25"/>
      <c r="X25" s="25"/>
      <c r="Y25" s="25"/>
    </row>
    <row r="26" spans="1:25" ht="30" x14ac:dyDescent="0.25">
      <c r="A26" s="25"/>
      <c r="B26" s="7">
        <f>B25+1</f>
        <v>23</v>
      </c>
      <c r="C26" s="7" t="s">
        <v>329</v>
      </c>
      <c r="D26" s="7" t="s">
        <v>216</v>
      </c>
      <c r="E26" s="7"/>
      <c r="F26" s="7"/>
      <c r="G26" s="9" t="s">
        <v>212</v>
      </c>
      <c r="H26" s="9" t="s">
        <v>311</v>
      </c>
      <c r="I26" s="9" t="s">
        <v>212</v>
      </c>
      <c r="J26" s="9" t="s">
        <v>212</v>
      </c>
      <c r="K26" s="7" t="s">
        <v>212</v>
      </c>
      <c r="L26" s="25"/>
      <c r="M26" s="25"/>
      <c r="N26" s="25"/>
      <c r="O26" s="25"/>
      <c r="P26" s="25"/>
      <c r="Q26" s="25"/>
      <c r="R26" s="25"/>
      <c r="S26" s="25"/>
      <c r="T26" s="25"/>
      <c r="U26" s="25"/>
      <c r="V26" s="25"/>
      <c r="W26" s="25"/>
      <c r="X26" s="25"/>
      <c r="Y26" s="25"/>
    </row>
    <row r="27" spans="1:25" ht="29.1" customHeight="1" x14ac:dyDescent="0.25">
      <c r="A27" s="25"/>
      <c r="B27" s="7">
        <f>B26+1</f>
        <v>24</v>
      </c>
      <c r="C27" s="7" t="s">
        <v>330</v>
      </c>
      <c r="D27" s="7" t="s">
        <v>216</v>
      </c>
      <c r="E27" s="7"/>
      <c r="F27" s="7"/>
      <c r="G27" s="9" t="s">
        <v>214</v>
      </c>
      <c r="H27" s="9" t="s">
        <v>306</v>
      </c>
      <c r="I27" s="9" t="s">
        <v>214</v>
      </c>
      <c r="J27" s="9" t="s">
        <v>212</v>
      </c>
      <c r="K27" s="7"/>
      <c r="L27" s="25"/>
      <c r="M27" s="25"/>
      <c r="N27" s="25"/>
      <c r="O27" s="25"/>
      <c r="P27" s="25"/>
      <c r="Q27" s="25"/>
      <c r="R27" s="25"/>
      <c r="S27" s="25"/>
      <c r="T27" s="25"/>
      <c r="U27" s="25"/>
      <c r="V27" s="25"/>
      <c r="W27" s="25"/>
      <c r="X27" s="25"/>
      <c r="Y27" s="25"/>
    </row>
    <row r="28" spans="1:25" ht="29.1" customHeight="1" x14ac:dyDescent="0.25">
      <c r="A28" s="25"/>
      <c r="B28" s="7">
        <f>B27+1</f>
        <v>25</v>
      </c>
      <c r="C28" s="7" t="s">
        <v>331</v>
      </c>
      <c r="D28" s="7" t="s">
        <v>219</v>
      </c>
      <c r="E28" s="7"/>
      <c r="F28" s="7"/>
      <c r="G28" s="9" t="s">
        <v>212</v>
      </c>
      <c r="H28" s="9" t="s">
        <v>311</v>
      </c>
      <c r="I28" s="9" t="s">
        <v>212</v>
      </c>
      <c r="J28" s="9" t="s">
        <v>332</v>
      </c>
      <c r="K28" s="7" t="s">
        <v>212</v>
      </c>
      <c r="L28" s="25"/>
      <c r="M28" s="25"/>
      <c r="N28" s="25"/>
      <c r="O28" s="25"/>
      <c r="P28" s="25"/>
      <c r="Q28" s="25"/>
      <c r="R28" s="25"/>
      <c r="S28" s="25"/>
      <c r="T28" s="25"/>
      <c r="U28" s="25"/>
      <c r="V28" s="25"/>
      <c r="W28" s="25"/>
      <c r="X28" s="25"/>
      <c r="Y28" s="25"/>
    </row>
    <row r="29" spans="1:25" ht="30" x14ac:dyDescent="0.25">
      <c r="A29" s="25"/>
      <c r="B29" s="7">
        <f t="shared" si="0"/>
        <v>26</v>
      </c>
      <c r="C29" s="7" t="s">
        <v>333</v>
      </c>
      <c r="D29" s="7" t="s">
        <v>219</v>
      </c>
      <c r="E29" s="7"/>
      <c r="F29" s="7"/>
      <c r="G29" s="9" t="s">
        <v>214</v>
      </c>
      <c r="H29" s="9" t="s">
        <v>306</v>
      </c>
      <c r="I29" s="9" t="s">
        <v>214</v>
      </c>
      <c r="J29" s="9" t="s">
        <v>214</v>
      </c>
      <c r="K29" s="7" t="s">
        <v>212</v>
      </c>
      <c r="L29" s="25"/>
      <c r="M29" s="25"/>
      <c r="N29" s="25"/>
      <c r="O29" s="25"/>
      <c r="P29" s="25"/>
      <c r="Q29" s="25"/>
      <c r="R29" s="25"/>
      <c r="S29" s="25"/>
      <c r="T29" s="25"/>
      <c r="U29" s="25"/>
      <c r="V29" s="25"/>
      <c r="W29" s="25"/>
      <c r="X29" s="25"/>
      <c r="Y29" s="25"/>
    </row>
    <row r="30" spans="1:25" ht="30" x14ac:dyDescent="0.25">
      <c r="A30" s="25"/>
      <c r="B30" s="7">
        <f t="shared" si="0"/>
        <v>27</v>
      </c>
      <c r="C30" s="7" t="s">
        <v>334</v>
      </c>
      <c r="D30" s="7" t="s">
        <v>219</v>
      </c>
      <c r="E30" s="7"/>
      <c r="F30" s="7"/>
      <c r="G30" s="9" t="s">
        <v>214</v>
      </c>
      <c r="H30" s="9" t="s">
        <v>306</v>
      </c>
      <c r="I30" s="9" t="s">
        <v>214</v>
      </c>
      <c r="J30" s="9" t="s">
        <v>214</v>
      </c>
      <c r="K30" s="7" t="s">
        <v>212</v>
      </c>
      <c r="L30" s="25"/>
      <c r="M30" s="25"/>
      <c r="N30" s="25"/>
      <c r="O30" s="25"/>
      <c r="P30" s="25"/>
      <c r="Q30" s="25"/>
      <c r="R30" s="25"/>
      <c r="S30" s="25"/>
      <c r="T30" s="25"/>
      <c r="U30" s="25"/>
      <c r="V30" s="25"/>
      <c r="W30" s="25"/>
      <c r="X30" s="25"/>
      <c r="Y30" s="25"/>
    </row>
    <row r="31" spans="1:25" ht="30" x14ac:dyDescent="0.25">
      <c r="A31" s="25"/>
      <c r="B31" s="7">
        <f t="shared" si="0"/>
        <v>28</v>
      </c>
      <c r="C31" s="7" t="s">
        <v>335</v>
      </c>
      <c r="D31" s="7" t="s">
        <v>220</v>
      </c>
      <c r="E31" s="7"/>
      <c r="F31" s="7"/>
      <c r="G31" s="9" t="s">
        <v>212</v>
      </c>
      <c r="H31" s="9" t="s">
        <v>311</v>
      </c>
      <c r="I31" s="9" t="s">
        <v>212</v>
      </c>
      <c r="J31" s="9" t="s">
        <v>214</v>
      </c>
      <c r="K31" s="7" t="s">
        <v>212</v>
      </c>
      <c r="L31" s="25"/>
      <c r="M31" s="25"/>
      <c r="N31" s="25"/>
      <c r="O31" s="25"/>
      <c r="P31" s="25"/>
      <c r="Q31" s="25"/>
      <c r="R31" s="25"/>
      <c r="S31" s="25"/>
      <c r="T31" s="25"/>
      <c r="U31" s="25"/>
      <c r="V31" s="25"/>
      <c r="W31" s="25"/>
      <c r="X31" s="25"/>
      <c r="Y31" s="25"/>
    </row>
    <row r="32" spans="1:25" ht="30" x14ac:dyDescent="0.25">
      <c r="A32" s="25"/>
      <c r="B32" s="7">
        <f t="shared" si="0"/>
        <v>29</v>
      </c>
      <c r="C32" s="7" t="s">
        <v>336</v>
      </c>
      <c r="D32" s="7" t="s">
        <v>220</v>
      </c>
      <c r="E32" s="7"/>
      <c r="F32" s="7"/>
      <c r="G32" s="9" t="s">
        <v>214</v>
      </c>
      <c r="H32" s="9" t="s">
        <v>306</v>
      </c>
      <c r="I32" s="9" t="s">
        <v>214</v>
      </c>
      <c r="J32" s="9" t="s">
        <v>214</v>
      </c>
      <c r="K32" s="7" t="s">
        <v>212</v>
      </c>
      <c r="L32" s="25"/>
      <c r="M32" s="25"/>
      <c r="N32" s="25"/>
      <c r="O32" s="25"/>
      <c r="P32" s="25"/>
      <c r="Q32" s="25"/>
      <c r="R32" s="25"/>
      <c r="S32" s="25"/>
      <c r="T32" s="25"/>
      <c r="U32" s="25"/>
      <c r="V32" s="25"/>
      <c r="W32" s="25"/>
      <c r="X32" s="25"/>
      <c r="Y32" s="25"/>
    </row>
    <row r="33" spans="1:25" ht="29.65" customHeight="1" x14ac:dyDescent="0.25">
      <c r="A33" s="25"/>
      <c r="B33" s="7">
        <f t="shared" si="0"/>
        <v>30</v>
      </c>
      <c r="C33" s="7" t="s">
        <v>337</v>
      </c>
      <c r="D33" s="7" t="s">
        <v>220</v>
      </c>
      <c r="E33" s="7"/>
      <c r="F33" s="7"/>
      <c r="G33" s="9" t="s">
        <v>212</v>
      </c>
      <c r="H33" s="9" t="s">
        <v>311</v>
      </c>
      <c r="I33" s="9" t="s">
        <v>212</v>
      </c>
      <c r="J33" s="9" t="s">
        <v>214</v>
      </c>
      <c r="K33" s="7"/>
      <c r="L33" s="25"/>
      <c r="M33" s="25"/>
      <c r="N33" s="25"/>
      <c r="O33" s="25"/>
      <c r="P33" s="25"/>
      <c r="Q33" s="25"/>
      <c r="R33" s="25"/>
      <c r="S33" s="25"/>
      <c r="T33" s="25"/>
      <c r="U33" s="25"/>
      <c r="V33" s="25"/>
      <c r="W33" s="25"/>
      <c r="X33" s="25"/>
      <c r="Y33" s="25"/>
    </row>
    <row r="34" spans="1:25" ht="30" x14ac:dyDescent="0.25">
      <c r="A34" s="25"/>
      <c r="B34" s="7">
        <f>B33+1</f>
        <v>31</v>
      </c>
      <c r="C34" s="7" t="s">
        <v>338</v>
      </c>
      <c r="D34" s="7" t="s">
        <v>221</v>
      </c>
      <c r="E34" s="7"/>
      <c r="F34" s="7"/>
      <c r="G34" s="9" t="s">
        <v>212</v>
      </c>
      <c r="H34" s="9" t="s">
        <v>311</v>
      </c>
      <c r="I34" s="9" t="s">
        <v>212</v>
      </c>
      <c r="J34" s="9" t="s">
        <v>212</v>
      </c>
      <c r="K34" s="7" t="s">
        <v>212</v>
      </c>
      <c r="L34" s="25"/>
      <c r="M34" s="25"/>
      <c r="N34" s="25"/>
      <c r="O34" s="25"/>
      <c r="P34" s="25"/>
      <c r="Q34" s="25"/>
      <c r="R34" s="25"/>
      <c r="S34" s="25"/>
      <c r="T34" s="25"/>
      <c r="U34" s="25"/>
      <c r="V34" s="25"/>
      <c r="W34" s="25"/>
      <c r="X34" s="25"/>
      <c r="Y34" s="25"/>
    </row>
    <row r="35" spans="1:25" ht="28.15" customHeight="1" x14ac:dyDescent="0.25">
      <c r="A35" s="25"/>
      <c r="B35" s="7">
        <f t="shared" si="0"/>
        <v>32</v>
      </c>
      <c r="C35" s="7" t="s">
        <v>339</v>
      </c>
      <c r="D35" s="7" t="s">
        <v>221</v>
      </c>
      <c r="E35" s="7"/>
      <c r="F35" s="7"/>
      <c r="G35" s="9" t="s">
        <v>340</v>
      </c>
      <c r="H35" s="9" t="s">
        <v>341</v>
      </c>
      <c r="I35" s="9" t="s">
        <v>212</v>
      </c>
      <c r="J35" s="9" t="s">
        <v>212</v>
      </c>
      <c r="K35" s="7" t="s">
        <v>212</v>
      </c>
      <c r="L35" s="25"/>
      <c r="M35" s="25"/>
      <c r="N35" s="25"/>
      <c r="O35" s="25"/>
      <c r="P35" s="25"/>
      <c r="Q35" s="25"/>
      <c r="R35" s="25"/>
      <c r="S35" s="25"/>
      <c r="T35" s="25"/>
      <c r="U35" s="25"/>
      <c r="V35" s="25"/>
      <c r="W35" s="25"/>
      <c r="X35" s="25"/>
      <c r="Y35" s="25"/>
    </row>
    <row r="36" spans="1:25" ht="30" x14ac:dyDescent="0.25">
      <c r="A36" s="25"/>
      <c r="B36" s="7">
        <f t="shared" si="0"/>
        <v>33</v>
      </c>
      <c r="C36" s="7" t="s">
        <v>342</v>
      </c>
      <c r="D36" s="7" t="s">
        <v>221</v>
      </c>
      <c r="E36" s="7"/>
      <c r="F36" s="7"/>
      <c r="G36" s="9" t="s">
        <v>212</v>
      </c>
      <c r="H36" s="9" t="s">
        <v>311</v>
      </c>
      <c r="I36" s="9" t="s">
        <v>214</v>
      </c>
      <c r="J36" s="9" t="s">
        <v>212</v>
      </c>
      <c r="K36" s="7" t="s">
        <v>212</v>
      </c>
      <c r="L36" s="25"/>
      <c r="M36" s="25"/>
      <c r="N36" s="25"/>
      <c r="O36" s="25"/>
      <c r="P36" s="25"/>
      <c r="Q36" s="25"/>
      <c r="R36" s="25"/>
      <c r="S36" s="25"/>
      <c r="T36" s="25"/>
      <c r="U36" s="25"/>
      <c r="V36" s="25"/>
      <c r="W36" s="25"/>
      <c r="X36" s="25"/>
      <c r="Y36" s="25"/>
    </row>
    <row r="37" spans="1:25" ht="30" x14ac:dyDescent="0.25">
      <c r="A37" s="25"/>
      <c r="B37" s="7">
        <f t="shared" si="0"/>
        <v>34</v>
      </c>
      <c r="C37" s="7" t="s">
        <v>343</v>
      </c>
      <c r="D37" s="7" t="s">
        <v>221</v>
      </c>
      <c r="E37" s="7"/>
      <c r="F37" s="7"/>
      <c r="G37" s="9" t="s">
        <v>214</v>
      </c>
      <c r="H37" s="9" t="s">
        <v>306</v>
      </c>
      <c r="I37" s="9" t="s">
        <v>214</v>
      </c>
      <c r="J37" s="9" t="s">
        <v>214</v>
      </c>
      <c r="K37" s="7" t="s">
        <v>212</v>
      </c>
      <c r="L37" s="25"/>
      <c r="M37" s="25"/>
      <c r="N37" s="25"/>
      <c r="O37" s="25"/>
      <c r="P37" s="25"/>
      <c r="Q37" s="25"/>
      <c r="R37" s="25"/>
      <c r="S37" s="25"/>
      <c r="T37" s="25"/>
      <c r="U37" s="25"/>
      <c r="V37" s="25"/>
      <c r="W37" s="25"/>
      <c r="X37" s="25"/>
      <c r="Y37" s="25"/>
    </row>
    <row r="38" spans="1:25" ht="29.1" customHeight="1" x14ac:dyDescent="0.25">
      <c r="A38" s="25"/>
      <c r="B38" s="7">
        <f t="shared" si="0"/>
        <v>35</v>
      </c>
      <c r="C38" s="7" t="s">
        <v>344</v>
      </c>
      <c r="D38" s="7" t="s">
        <v>221</v>
      </c>
      <c r="E38" s="7"/>
      <c r="F38" s="7"/>
      <c r="G38" s="9" t="s">
        <v>340</v>
      </c>
      <c r="H38" s="9" t="s">
        <v>341</v>
      </c>
      <c r="I38" s="9" t="s">
        <v>212</v>
      </c>
      <c r="J38" s="9" t="s">
        <v>212</v>
      </c>
      <c r="K38" s="7" t="s">
        <v>212</v>
      </c>
      <c r="L38" s="25"/>
      <c r="M38" s="25"/>
      <c r="N38" s="25"/>
      <c r="O38" s="25"/>
      <c r="P38" s="25"/>
      <c r="Q38" s="25"/>
      <c r="R38" s="25"/>
      <c r="S38" s="25"/>
      <c r="T38" s="25"/>
      <c r="U38" s="25"/>
      <c r="V38" s="25"/>
      <c r="W38" s="25"/>
      <c r="X38" s="25"/>
      <c r="Y38" s="25"/>
    </row>
    <row r="39" spans="1:25" ht="30" x14ac:dyDescent="0.25">
      <c r="A39" s="25"/>
      <c r="B39" s="7">
        <f t="shared" si="0"/>
        <v>36</v>
      </c>
      <c r="C39" s="7" t="s">
        <v>345</v>
      </c>
      <c r="D39" s="7" t="s">
        <v>221</v>
      </c>
      <c r="E39" s="7"/>
      <c r="F39" s="7"/>
      <c r="G39" s="9" t="s">
        <v>214</v>
      </c>
      <c r="H39" s="9" t="s">
        <v>306</v>
      </c>
      <c r="I39" s="9" t="s">
        <v>214</v>
      </c>
      <c r="J39" s="9" t="s">
        <v>212</v>
      </c>
      <c r="K39" s="7" t="s">
        <v>212</v>
      </c>
      <c r="L39" s="25"/>
      <c r="M39" s="25"/>
      <c r="N39" s="25"/>
      <c r="O39" s="25"/>
      <c r="P39" s="25"/>
      <c r="Q39" s="25"/>
      <c r="R39" s="25"/>
      <c r="S39" s="25"/>
      <c r="T39" s="25"/>
      <c r="U39" s="25"/>
      <c r="V39" s="25"/>
      <c r="W39" s="25"/>
      <c r="X39" s="25"/>
      <c r="Y39" s="25"/>
    </row>
    <row r="40" spans="1:25" ht="29.65" customHeight="1" x14ac:dyDescent="0.25">
      <c r="A40" s="25"/>
      <c r="B40" s="7">
        <f t="shared" si="0"/>
        <v>37</v>
      </c>
      <c r="C40" s="7" t="s">
        <v>346</v>
      </c>
      <c r="D40" s="7" t="s">
        <v>221</v>
      </c>
      <c r="E40" s="7"/>
      <c r="F40" s="7"/>
      <c r="G40" s="9" t="s">
        <v>340</v>
      </c>
      <c r="H40" s="9" t="s">
        <v>341</v>
      </c>
      <c r="I40" s="9" t="s">
        <v>212</v>
      </c>
      <c r="J40" s="9" t="s">
        <v>214</v>
      </c>
      <c r="K40" s="7" t="s">
        <v>212</v>
      </c>
      <c r="L40" s="25"/>
      <c r="M40" s="25"/>
      <c r="N40" s="25"/>
      <c r="O40" s="25"/>
      <c r="P40" s="25"/>
      <c r="Q40" s="25"/>
      <c r="R40" s="25"/>
      <c r="S40" s="25"/>
      <c r="T40" s="25"/>
      <c r="U40" s="25"/>
      <c r="V40" s="25"/>
      <c r="W40" s="25"/>
      <c r="X40" s="25"/>
      <c r="Y40" s="25"/>
    </row>
    <row r="41" spans="1:25" ht="30" x14ac:dyDescent="0.25">
      <c r="A41" s="25"/>
      <c r="B41" s="7">
        <f t="shared" si="0"/>
        <v>38</v>
      </c>
      <c r="C41" s="7" t="s">
        <v>347</v>
      </c>
      <c r="D41" s="7" t="s">
        <v>221</v>
      </c>
      <c r="E41" s="7"/>
      <c r="F41" s="7"/>
      <c r="G41" s="9" t="s">
        <v>212</v>
      </c>
      <c r="H41" s="9" t="s">
        <v>311</v>
      </c>
      <c r="I41" s="9" t="s">
        <v>212</v>
      </c>
      <c r="J41" s="9" t="s">
        <v>212</v>
      </c>
      <c r="K41" s="7" t="s">
        <v>212</v>
      </c>
      <c r="L41" s="25"/>
      <c r="M41" s="25"/>
      <c r="N41" s="25"/>
      <c r="O41" s="25"/>
      <c r="P41" s="25"/>
      <c r="Q41" s="25"/>
      <c r="R41" s="25"/>
      <c r="S41" s="25"/>
      <c r="T41" s="25"/>
      <c r="U41" s="25"/>
      <c r="V41" s="25"/>
      <c r="W41" s="25"/>
      <c r="X41" s="25"/>
      <c r="Y41" s="25"/>
    </row>
    <row r="42" spans="1:25" ht="30" x14ac:dyDescent="0.25">
      <c r="A42" s="25"/>
      <c r="B42" s="7">
        <f t="shared" si="0"/>
        <v>39</v>
      </c>
      <c r="C42" s="7" t="s">
        <v>348</v>
      </c>
      <c r="D42" s="7" t="s">
        <v>221</v>
      </c>
      <c r="E42" s="7"/>
      <c r="F42" s="7"/>
      <c r="G42" s="9" t="s">
        <v>212</v>
      </c>
      <c r="H42" s="9" t="s">
        <v>311</v>
      </c>
      <c r="I42" s="9" t="s">
        <v>214</v>
      </c>
      <c r="J42" s="9" t="s">
        <v>214</v>
      </c>
      <c r="K42" s="7" t="s">
        <v>212</v>
      </c>
      <c r="L42" s="25"/>
      <c r="M42" s="25"/>
      <c r="N42" s="25"/>
      <c r="O42" s="25"/>
      <c r="P42" s="25"/>
      <c r="Q42" s="25"/>
      <c r="R42" s="25"/>
      <c r="S42" s="25"/>
      <c r="T42" s="25"/>
      <c r="U42" s="25"/>
      <c r="V42" s="25"/>
      <c r="W42" s="25"/>
      <c r="X42" s="25"/>
      <c r="Y42" s="25"/>
    </row>
    <row r="43" spans="1:25" ht="30" x14ac:dyDescent="0.25">
      <c r="A43" s="25"/>
      <c r="B43" s="7">
        <f t="shared" si="0"/>
        <v>40</v>
      </c>
      <c r="C43" s="7" t="s">
        <v>349</v>
      </c>
      <c r="D43" s="7" t="s">
        <v>221</v>
      </c>
      <c r="E43" s="7"/>
      <c r="F43" s="7"/>
      <c r="G43" s="9" t="s">
        <v>212</v>
      </c>
      <c r="H43" s="9" t="s">
        <v>311</v>
      </c>
      <c r="I43" s="9" t="s">
        <v>214</v>
      </c>
      <c r="J43" s="9" t="s">
        <v>214</v>
      </c>
      <c r="K43" s="7" t="s">
        <v>212</v>
      </c>
      <c r="L43" s="25"/>
      <c r="M43" s="25"/>
      <c r="N43" s="25"/>
      <c r="O43" s="25"/>
      <c r="P43" s="25"/>
      <c r="Q43" s="25"/>
      <c r="R43" s="25"/>
      <c r="S43" s="25"/>
      <c r="T43" s="25"/>
      <c r="U43" s="25"/>
      <c r="V43" s="25"/>
      <c r="W43" s="25"/>
      <c r="X43" s="25"/>
      <c r="Y43" s="25"/>
    </row>
    <row r="44" spans="1:25" ht="30" x14ac:dyDescent="0.25">
      <c r="A44" s="25"/>
      <c r="B44" s="7">
        <f t="shared" si="0"/>
        <v>41</v>
      </c>
      <c r="C44" s="7" t="s">
        <v>350</v>
      </c>
      <c r="D44" s="7" t="s">
        <v>221</v>
      </c>
      <c r="E44" s="7"/>
      <c r="F44" s="7"/>
      <c r="G44" s="9" t="s">
        <v>212</v>
      </c>
      <c r="H44" s="9" t="s">
        <v>311</v>
      </c>
      <c r="I44" s="9" t="s">
        <v>212</v>
      </c>
      <c r="J44" s="9" t="s">
        <v>212</v>
      </c>
      <c r="K44" s="7" t="s">
        <v>212</v>
      </c>
      <c r="L44" s="25"/>
      <c r="M44" s="25"/>
      <c r="N44" s="25"/>
      <c r="O44" s="25"/>
      <c r="P44" s="25"/>
      <c r="Q44" s="25"/>
      <c r="R44" s="25"/>
      <c r="S44" s="25"/>
      <c r="T44" s="25"/>
      <c r="U44" s="25"/>
      <c r="V44" s="25"/>
      <c r="W44" s="25"/>
      <c r="X44" s="25"/>
      <c r="Y44" s="25"/>
    </row>
    <row r="45" spans="1:25" ht="30" x14ac:dyDescent="0.25">
      <c r="A45" s="25"/>
      <c r="B45" s="7">
        <f t="shared" si="0"/>
        <v>42</v>
      </c>
      <c r="C45" s="7" t="s">
        <v>351</v>
      </c>
      <c r="D45" s="7" t="s">
        <v>221</v>
      </c>
      <c r="E45" s="7"/>
      <c r="F45" s="7"/>
      <c r="G45" s="9" t="s">
        <v>212</v>
      </c>
      <c r="H45" s="9" t="s">
        <v>311</v>
      </c>
      <c r="I45" s="9" t="s">
        <v>212</v>
      </c>
      <c r="J45" s="9" t="s">
        <v>212</v>
      </c>
      <c r="K45" s="7" t="s">
        <v>212</v>
      </c>
      <c r="L45" s="25"/>
      <c r="M45" s="25"/>
      <c r="N45" s="25"/>
      <c r="O45" s="25"/>
      <c r="P45" s="25"/>
      <c r="Q45" s="25"/>
      <c r="R45" s="25"/>
      <c r="S45" s="25"/>
      <c r="T45" s="25"/>
      <c r="U45" s="25"/>
      <c r="V45" s="25"/>
      <c r="W45" s="25"/>
      <c r="X45" s="25"/>
      <c r="Y45" s="25"/>
    </row>
    <row r="46" spans="1:25" ht="30" x14ac:dyDescent="0.25">
      <c r="A46" s="25"/>
      <c r="B46" s="7">
        <f t="shared" si="0"/>
        <v>43</v>
      </c>
      <c r="C46" s="7" t="s">
        <v>352</v>
      </c>
      <c r="D46" s="7" t="s">
        <v>221</v>
      </c>
      <c r="E46" s="7"/>
      <c r="F46" s="7"/>
      <c r="G46" s="9" t="s">
        <v>212</v>
      </c>
      <c r="H46" s="9" t="s">
        <v>311</v>
      </c>
      <c r="I46" s="9" t="s">
        <v>212</v>
      </c>
      <c r="J46" s="9" t="s">
        <v>212</v>
      </c>
      <c r="K46" s="7" t="s">
        <v>212</v>
      </c>
      <c r="L46" s="25"/>
      <c r="M46" s="25"/>
      <c r="N46" s="25"/>
      <c r="O46" s="25"/>
      <c r="P46" s="25"/>
      <c r="Q46" s="25"/>
      <c r="R46" s="25"/>
      <c r="S46" s="25"/>
      <c r="T46" s="25"/>
      <c r="U46" s="25"/>
      <c r="V46" s="25"/>
      <c r="W46" s="25"/>
      <c r="X46" s="25"/>
      <c r="Y46" s="25"/>
    </row>
    <row r="47" spans="1:25" ht="30" x14ac:dyDescent="0.25">
      <c r="A47" s="25"/>
      <c r="B47" s="7">
        <f t="shared" si="0"/>
        <v>44</v>
      </c>
      <c r="C47" s="7" t="s">
        <v>353</v>
      </c>
      <c r="D47" s="7" t="s">
        <v>221</v>
      </c>
      <c r="E47" s="7"/>
      <c r="F47" s="7"/>
      <c r="G47" s="9" t="s">
        <v>212</v>
      </c>
      <c r="H47" s="9" t="s">
        <v>311</v>
      </c>
      <c r="I47" s="9" t="s">
        <v>212</v>
      </c>
      <c r="J47" s="9" t="s">
        <v>212</v>
      </c>
      <c r="K47" s="7" t="s">
        <v>212</v>
      </c>
      <c r="L47" s="25"/>
      <c r="M47" s="25"/>
      <c r="N47" s="25"/>
      <c r="O47" s="25"/>
      <c r="P47" s="25"/>
      <c r="Q47" s="25"/>
      <c r="R47" s="25"/>
      <c r="S47" s="25"/>
      <c r="T47" s="25"/>
      <c r="U47" s="25"/>
      <c r="V47" s="25"/>
      <c r="W47" s="25"/>
      <c r="X47" s="25"/>
      <c r="Y47" s="25"/>
    </row>
    <row r="48" spans="1:25" ht="30" x14ac:dyDescent="0.25">
      <c r="A48" s="25"/>
      <c r="B48" s="7">
        <f t="shared" si="0"/>
        <v>45</v>
      </c>
      <c r="C48" s="7" t="s">
        <v>354</v>
      </c>
      <c r="D48" s="7" t="s">
        <v>221</v>
      </c>
      <c r="E48" s="7"/>
      <c r="F48" s="7"/>
      <c r="G48" s="9" t="s">
        <v>212</v>
      </c>
      <c r="H48" s="9" t="s">
        <v>311</v>
      </c>
      <c r="I48" s="9" t="s">
        <v>214</v>
      </c>
      <c r="J48" s="9" t="s">
        <v>214</v>
      </c>
      <c r="K48" s="7" t="s">
        <v>212</v>
      </c>
      <c r="L48" s="25"/>
      <c r="M48" s="25"/>
      <c r="N48" s="25"/>
      <c r="O48" s="25"/>
      <c r="P48" s="25"/>
      <c r="Q48" s="25"/>
      <c r="R48" s="25"/>
      <c r="S48" s="25"/>
      <c r="T48" s="25"/>
      <c r="U48" s="25"/>
      <c r="V48" s="25"/>
      <c r="W48" s="25"/>
      <c r="X48" s="25"/>
      <c r="Y48" s="25"/>
    </row>
    <row r="49" spans="1:25" ht="30" x14ac:dyDescent="0.25">
      <c r="A49" s="25"/>
      <c r="B49" s="7">
        <f t="shared" si="0"/>
        <v>46</v>
      </c>
      <c r="C49" s="7" t="s">
        <v>103</v>
      </c>
      <c r="D49" s="7" t="s">
        <v>102</v>
      </c>
      <c r="E49" s="7"/>
      <c r="F49" s="7"/>
      <c r="G49" s="9" t="s">
        <v>214</v>
      </c>
      <c r="H49" s="9" t="s">
        <v>306</v>
      </c>
      <c r="I49" s="9" t="s">
        <v>212</v>
      </c>
      <c r="J49" s="9" t="s">
        <v>212</v>
      </c>
      <c r="K49" s="7" t="s">
        <v>212</v>
      </c>
      <c r="L49" s="25"/>
      <c r="M49" s="25"/>
      <c r="N49" s="25"/>
      <c r="O49" s="25"/>
      <c r="P49" s="25"/>
      <c r="Q49" s="25"/>
      <c r="R49" s="25"/>
      <c r="S49" s="25"/>
      <c r="T49" s="25"/>
      <c r="U49" s="25"/>
      <c r="V49" s="25"/>
      <c r="W49" s="25"/>
      <c r="X49" s="25"/>
      <c r="Y49" s="25"/>
    </row>
    <row r="50" spans="1:25" ht="30" x14ac:dyDescent="0.25">
      <c r="A50" s="25"/>
      <c r="B50" s="7">
        <f t="shared" si="0"/>
        <v>47</v>
      </c>
      <c r="C50" s="7" t="s">
        <v>355</v>
      </c>
      <c r="D50" s="7" t="s">
        <v>221</v>
      </c>
      <c r="E50" s="7"/>
      <c r="F50" s="7"/>
      <c r="G50" s="9" t="s">
        <v>212</v>
      </c>
      <c r="H50" s="9" t="s">
        <v>311</v>
      </c>
      <c r="I50" s="9" t="s">
        <v>214</v>
      </c>
      <c r="J50" s="9" t="s">
        <v>214</v>
      </c>
      <c r="K50" s="7" t="s">
        <v>212</v>
      </c>
      <c r="L50" s="25"/>
      <c r="M50" s="25"/>
      <c r="N50" s="25"/>
      <c r="O50" s="25"/>
      <c r="P50" s="25"/>
      <c r="Q50" s="25"/>
      <c r="R50" s="25"/>
      <c r="S50" s="25"/>
      <c r="T50" s="25"/>
      <c r="U50" s="25"/>
      <c r="V50" s="25"/>
      <c r="W50" s="25"/>
      <c r="X50" s="25"/>
      <c r="Y50" s="25"/>
    </row>
    <row r="51" spans="1:25" ht="29.65" customHeight="1" x14ac:dyDescent="0.25">
      <c r="A51" s="25"/>
      <c r="B51" s="7">
        <f t="shared" si="0"/>
        <v>48</v>
      </c>
      <c r="C51" s="7" t="s">
        <v>356</v>
      </c>
      <c r="D51" s="7" t="s">
        <v>221</v>
      </c>
      <c r="E51" s="7"/>
      <c r="F51" s="7"/>
      <c r="G51" s="9" t="s">
        <v>340</v>
      </c>
      <c r="H51" s="9" t="s">
        <v>341</v>
      </c>
      <c r="I51" s="9" t="s">
        <v>212</v>
      </c>
      <c r="J51" s="9" t="s">
        <v>212</v>
      </c>
      <c r="K51" s="7" t="s">
        <v>212</v>
      </c>
      <c r="L51" s="25"/>
      <c r="M51" s="25"/>
      <c r="N51" s="25"/>
      <c r="O51" s="25"/>
      <c r="P51" s="25"/>
      <c r="Q51" s="25"/>
      <c r="R51" s="25"/>
      <c r="S51" s="25"/>
      <c r="T51" s="25"/>
      <c r="U51" s="25"/>
      <c r="V51" s="25"/>
      <c r="W51" s="25"/>
      <c r="X51" s="25"/>
      <c r="Y51" s="25"/>
    </row>
    <row r="52" spans="1:25" ht="30" x14ac:dyDescent="0.25">
      <c r="A52" s="25"/>
      <c r="B52" s="7">
        <f t="shared" si="0"/>
        <v>49</v>
      </c>
      <c r="C52" s="7" t="s">
        <v>357</v>
      </c>
      <c r="D52" s="7" t="s">
        <v>221</v>
      </c>
      <c r="E52" s="7"/>
      <c r="F52" s="7"/>
      <c r="G52" s="9" t="s">
        <v>212</v>
      </c>
      <c r="H52" s="9" t="s">
        <v>311</v>
      </c>
      <c r="I52" s="9" t="s">
        <v>212</v>
      </c>
      <c r="J52" s="9" t="s">
        <v>212</v>
      </c>
      <c r="K52" s="7" t="s">
        <v>212</v>
      </c>
      <c r="L52" s="25"/>
      <c r="M52" s="25"/>
      <c r="N52" s="25"/>
      <c r="O52" s="25"/>
      <c r="P52" s="25"/>
      <c r="Q52" s="25"/>
      <c r="R52" s="25"/>
      <c r="S52" s="25"/>
      <c r="T52" s="25"/>
      <c r="U52" s="25"/>
      <c r="V52" s="25"/>
      <c r="W52" s="25"/>
      <c r="X52" s="25"/>
      <c r="Y52" s="25"/>
    </row>
    <row r="53" spans="1:25" ht="30" x14ac:dyDescent="0.25">
      <c r="A53" s="25"/>
      <c r="B53" s="7">
        <f t="shared" si="0"/>
        <v>50</v>
      </c>
      <c r="C53" s="7" t="s">
        <v>358</v>
      </c>
      <c r="D53" s="7" t="s">
        <v>221</v>
      </c>
      <c r="E53" s="7"/>
      <c r="F53" s="7"/>
      <c r="G53" s="9" t="s">
        <v>212</v>
      </c>
      <c r="H53" s="9" t="s">
        <v>311</v>
      </c>
      <c r="I53" s="9" t="s">
        <v>212</v>
      </c>
      <c r="J53" s="9" t="s">
        <v>212</v>
      </c>
      <c r="K53" s="7" t="s">
        <v>212</v>
      </c>
      <c r="L53" s="25"/>
      <c r="M53" s="25"/>
      <c r="N53" s="25"/>
      <c r="O53" s="25"/>
      <c r="P53" s="25"/>
      <c r="Q53" s="25"/>
      <c r="R53" s="25"/>
      <c r="S53" s="25"/>
      <c r="T53" s="25"/>
      <c r="U53" s="25"/>
      <c r="V53" s="25"/>
      <c r="W53" s="25"/>
      <c r="X53" s="25"/>
      <c r="Y53" s="25"/>
    </row>
    <row r="54" spans="1:25" ht="29.65" customHeight="1" x14ac:dyDescent="0.25">
      <c r="A54" s="25"/>
      <c r="B54" s="7">
        <f t="shared" si="0"/>
        <v>51</v>
      </c>
      <c r="C54" s="7" t="s">
        <v>359</v>
      </c>
      <c r="D54" s="7" t="s">
        <v>221</v>
      </c>
      <c r="E54" s="7"/>
      <c r="F54" s="7"/>
      <c r="G54" s="9" t="s">
        <v>212</v>
      </c>
      <c r="H54" s="9" t="s">
        <v>311</v>
      </c>
      <c r="I54" s="9" t="s">
        <v>212</v>
      </c>
      <c r="J54" s="9" t="s">
        <v>212</v>
      </c>
      <c r="K54" s="7"/>
      <c r="L54" s="25"/>
      <c r="M54" s="25"/>
      <c r="N54" s="25"/>
      <c r="O54" s="25"/>
      <c r="P54" s="25"/>
      <c r="Q54" s="25"/>
      <c r="R54" s="25"/>
      <c r="S54" s="25"/>
      <c r="T54" s="25"/>
      <c r="U54" s="25"/>
      <c r="V54" s="25"/>
      <c r="W54" s="25"/>
      <c r="X54" s="25"/>
      <c r="Y54" s="25"/>
    </row>
    <row r="55" spans="1:25" ht="30" x14ac:dyDescent="0.25">
      <c r="A55" s="25"/>
      <c r="B55" s="7">
        <f>B54+1</f>
        <v>52</v>
      </c>
      <c r="C55" s="7" t="s">
        <v>360</v>
      </c>
      <c r="D55" s="7" t="s">
        <v>222</v>
      </c>
      <c r="E55" s="7"/>
      <c r="F55" s="7"/>
      <c r="G55" s="9" t="s">
        <v>212</v>
      </c>
      <c r="H55" s="9" t="s">
        <v>311</v>
      </c>
      <c r="I55" s="9" t="s">
        <v>212</v>
      </c>
      <c r="J55" s="9" t="s">
        <v>212</v>
      </c>
      <c r="K55" s="7" t="s">
        <v>212</v>
      </c>
      <c r="L55" s="25"/>
      <c r="M55" s="25"/>
      <c r="N55" s="25"/>
      <c r="O55" s="25"/>
      <c r="P55" s="25"/>
      <c r="Q55" s="25"/>
      <c r="R55" s="25"/>
      <c r="S55" s="25"/>
      <c r="T55" s="25"/>
      <c r="U55" s="25"/>
      <c r="V55" s="25"/>
      <c r="W55" s="25"/>
      <c r="X55" s="25"/>
      <c r="Y55" s="25"/>
    </row>
    <row r="56" spans="1:25" ht="30" x14ac:dyDescent="0.25">
      <c r="A56" s="25"/>
      <c r="B56" s="7">
        <f t="shared" si="0"/>
        <v>53</v>
      </c>
      <c r="C56" s="7" t="s">
        <v>361</v>
      </c>
      <c r="D56" s="7" t="s">
        <v>222</v>
      </c>
      <c r="E56" s="7"/>
      <c r="F56" s="7"/>
      <c r="G56" s="9" t="s">
        <v>214</v>
      </c>
      <c r="H56" s="9" t="s">
        <v>306</v>
      </c>
      <c r="I56" s="9" t="s">
        <v>214</v>
      </c>
      <c r="J56" s="9" t="s">
        <v>214</v>
      </c>
      <c r="K56" s="7" t="s">
        <v>212</v>
      </c>
      <c r="L56" s="25"/>
      <c r="M56" s="25"/>
      <c r="N56" s="25"/>
      <c r="O56" s="25"/>
      <c r="P56" s="25"/>
      <c r="Q56" s="25"/>
      <c r="R56" s="25"/>
      <c r="S56" s="25"/>
      <c r="T56" s="25"/>
      <c r="U56" s="25"/>
      <c r="V56" s="25"/>
      <c r="W56" s="25"/>
      <c r="X56" s="25"/>
      <c r="Y56" s="25"/>
    </row>
    <row r="57" spans="1:25" ht="30" x14ac:dyDescent="0.25">
      <c r="A57" s="25"/>
      <c r="B57" s="7">
        <f t="shared" si="0"/>
        <v>54</v>
      </c>
      <c r="C57" s="7" t="s">
        <v>362</v>
      </c>
      <c r="D57" s="7" t="s">
        <v>222</v>
      </c>
      <c r="E57" s="7"/>
      <c r="F57" s="7"/>
      <c r="G57" s="9" t="s">
        <v>214</v>
      </c>
      <c r="H57" s="9" t="s">
        <v>306</v>
      </c>
      <c r="I57" s="9" t="s">
        <v>212</v>
      </c>
      <c r="J57" s="9" t="s">
        <v>212</v>
      </c>
      <c r="K57" s="7" t="s">
        <v>212</v>
      </c>
      <c r="L57" s="25"/>
      <c r="M57" s="25"/>
      <c r="N57" s="25"/>
      <c r="O57" s="25"/>
      <c r="P57" s="25"/>
      <c r="Q57" s="25"/>
      <c r="R57" s="25"/>
      <c r="S57" s="25"/>
      <c r="T57" s="25"/>
      <c r="U57" s="25"/>
      <c r="V57" s="25"/>
      <c r="W57" s="25"/>
      <c r="X57" s="25"/>
      <c r="Y57" s="25"/>
    </row>
    <row r="58" spans="1:25" ht="30" x14ac:dyDescent="0.25">
      <c r="A58" s="25"/>
      <c r="B58" s="7">
        <f t="shared" si="0"/>
        <v>55</v>
      </c>
      <c r="C58" s="7" t="s">
        <v>363</v>
      </c>
      <c r="D58" s="7" t="s">
        <v>222</v>
      </c>
      <c r="E58" s="7"/>
      <c r="F58" s="7"/>
      <c r="G58" s="9" t="s">
        <v>214</v>
      </c>
      <c r="H58" s="9" t="s">
        <v>306</v>
      </c>
      <c r="I58" s="9" t="s">
        <v>212</v>
      </c>
      <c r="J58" s="9" t="s">
        <v>212</v>
      </c>
      <c r="K58" s="7" t="s">
        <v>212</v>
      </c>
      <c r="L58" s="25"/>
      <c r="M58" s="25"/>
      <c r="N58" s="25"/>
      <c r="O58" s="25"/>
      <c r="P58" s="25"/>
      <c r="Q58" s="25"/>
      <c r="R58" s="25"/>
      <c r="S58" s="25"/>
      <c r="T58" s="25"/>
      <c r="U58" s="25"/>
      <c r="V58" s="25"/>
      <c r="W58" s="25"/>
      <c r="X58" s="25"/>
      <c r="Y58" s="25"/>
    </row>
    <row r="59" spans="1:25" ht="30" x14ac:dyDescent="0.25">
      <c r="A59" s="25"/>
      <c r="B59" s="7">
        <f t="shared" si="0"/>
        <v>56</v>
      </c>
      <c r="C59" s="7" t="s">
        <v>364</v>
      </c>
      <c r="D59" s="7" t="s">
        <v>218</v>
      </c>
      <c r="E59" s="7"/>
      <c r="F59" s="7"/>
      <c r="G59" s="9" t="s">
        <v>214</v>
      </c>
      <c r="H59" s="9" t="s">
        <v>306</v>
      </c>
      <c r="I59" s="9" t="s">
        <v>214</v>
      </c>
      <c r="J59" s="9" t="s">
        <v>214</v>
      </c>
      <c r="K59" s="7" t="s">
        <v>212</v>
      </c>
      <c r="L59" s="25"/>
      <c r="M59" s="25"/>
      <c r="N59" s="25"/>
      <c r="O59" s="25"/>
      <c r="P59" s="25"/>
      <c r="Q59" s="25"/>
      <c r="R59" s="25"/>
      <c r="S59" s="25"/>
      <c r="T59" s="25"/>
      <c r="U59" s="25"/>
      <c r="V59" s="25"/>
      <c r="W59" s="25"/>
      <c r="X59" s="25"/>
      <c r="Y59" s="25"/>
    </row>
    <row r="60" spans="1:25" ht="30" x14ac:dyDescent="0.25">
      <c r="A60" s="25"/>
      <c r="B60" s="7">
        <f t="shared" si="0"/>
        <v>57</v>
      </c>
      <c r="C60" s="7" t="s">
        <v>365</v>
      </c>
      <c r="D60" s="7" t="s">
        <v>223</v>
      </c>
      <c r="E60" s="7"/>
      <c r="F60" s="7"/>
      <c r="G60" s="9" t="s">
        <v>212</v>
      </c>
      <c r="H60" s="9" t="s">
        <v>311</v>
      </c>
      <c r="I60" s="9" t="s">
        <v>332</v>
      </c>
      <c r="J60" s="9" t="s">
        <v>214</v>
      </c>
      <c r="K60" s="7" t="s">
        <v>212</v>
      </c>
      <c r="L60" s="25"/>
      <c r="M60" s="25"/>
      <c r="N60" s="25"/>
      <c r="O60" s="25"/>
      <c r="P60" s="25"/>
      <c r="Q60" s="25"/>
      <c r="R60" s="25"/>
      <c r="S60" s="25"/>
      <c r="T60" s="25"/>
      <c r="U60" s="25"/>
      <c r="V60" s="25"/>
      <c r="W60" s="25"/>
      <c r="X60" s="25"/>
      <c r="Y60" s="25"/>
    </row>
    <row r="61" spans="1:25" ht="30" x14ac:dyDescent="0.25">
      <c r="A61" s="25"/>
      <c r="B61" s="7">
        <f t="shared" si="0"/>
        <v>58</v>
      </c>
      <c r="C61" s="7" t="s">
        <v>366</v>
      </c>
      <c r="D61" s="7" t="s">
        <v>218</v>
      </c>
      <c r="E61" s="7"/>
      <c r="F61" s="7"/>
      <c r="G61" s="9" t="s">
        <v>212</v>
      </c>
      <c r="H61" s="9" t="s">
        <v>311</v>
      </c>
      <c r="I61" s="9" t="s">
        <v>214</v>
      </c>
      <c r="J61" s="9" t="s">
        <v>214</v>
      </c>
      <c r="K61" s="7" t="s">
        <v>212</v>
      </c>
      <c r="L61" s="25"/>
      <c r="M61" s="25"/>
      <c r="N61" s="25"/>
      <c r="O61" s="25"/>
      <c r="P61" s="25"/>
      <c r="Q61" s="25"/>
      <c r="R61" s="25"/>
      <c r="S61" s="25"/>
      <c r="T61" s="25"/>
      <c r="U61" s="25"/>
      <c r="V61" s="25"/>
      <c r="W61" s="25"/>
      <c r="X61" s="25"/>
      <c r="Y61" s="25"/>
    </row>
    <row r="62" spans="1:25" ht="30" x14ac:dyDescent="0.25">
      <c r="A62" s="25"/>
      <c r="B62" s="7">
        <f t="shared" si="0"/>
        <v>59</v>
      </c>
      <c r="C62" s="7" t="s">
        <v>367</v>
      </c>
      <c r="D62" s="7" t="s">
        <v>218</v>
      </c>
      <c r="E62" s="7"/>
      <c r="F62" s="7"/>
      <c r="G62" s="9" t="s">
        <v>212</v>
      </c>
      <c r="H62" s="9" t="s">
        <v>311</v>
      </c>
      <c r="I62" s="9" t="s">
        <v>332</v>
      </c>
      <c r="J62" s="9" t="s">
        <v>214</v>
      </c>
      <c r="K62" s="7" t="s">
        <v>212</v>
      </c>
      <c r="L62" s="25"/>
      <c r="M62" s="25"/>
      <c r="N62" s="25"/>
      <c r="O62" s="25"/>
      <c r="P62" s="25"/>
      <c r="Q62" s="25"/>
      <c r="R62" s="25"/>
      <c r="S62" s="25"/>
      <c r="T62" s="25"/>
      <c r="U62" s="25"/>
      <c r="V62" s="25"/>
      <c r="W62" s="25"/>
      <c r="X62" s="25"/>
      <c r="Y62" s="25"/>
    </row>
    <row r="63" spans="1:25" ht="30" x14ac:dyDescent="0.25">
      <c r="A63" s="25"/>
      <c r="B63" s="7">
        <f t="shared" si="0"/>
        <v>60</v>
      </c>
      <c r="C63" s="7" t="s">
        <v>368</v>
      </c>
      <c r="D63" s="7" t="s">
        <v>218</v>
      </c>
      <c r="E63" s="7"/>
      <c r="F63" s="7"/>
      <c r="G63" s="9" t="s">
        <v>212</v>
      </c>
      <c r="H63" s="9" t="s">
        <v>311</v>
      </c>
      <c r="I63" s="9" t="s">
        <v>214</v>
      </c>
      <c r="J63" s="9" t="s">
        <v>214</v>
      </c>
      <c r="K63" s="7" t="s">
        <v>212</v>
      </c>
      <c r="L63" s="25"/>
      <c r="M63" s="25"/>
      <c r="N63" s="25"/>
      <c r="O63" s="25"/>
      <c r="P63" s="25"/>
      <c r="Q63" s="25"/>
      <c r="R63" s="25"/>
      <c r="S63" s="25"/>
      <c r="T63" s="25"/>
      <c r="U63" s="25"/>
      <c r="V63" s="25"/>
      <c r="W63" s="25"/>
      <c r="X63" s="25"/>
      <c r="Y63" s="25"/>
    </row>
    <row r="64" spans="1:25" ht="30" x14ac:dyDescent="0.25">
      <c r="A64" s="25"/>
      <c r="B64" s="7">
        <f t="shared" si="0"/>
        <v>61</v>
      </c>
      <c r="C64" s="7" t="s">
        <v>369</v>
      </c>
      <c r="D64" s="7" t="s">
        <v>218</v>
      </c>
      <c r="E64" s="7"/>
      <c r="F64" s="7"/>
      <c r="G64" s="9" t="s">
        <v>212</v>
      </c>
      <c r="H64" s="9" t="s">
        <v>311</v>
      </c>
      <c r="I64" s="9" t="s">
        <v>332</v>
      </c>
      <c r="J64" s="9" t="s">
        <v>214</v>
      </c>
      <c r="K64" s="7" t="s">
        <v>212</v>
      </c>
      <c r="L64" s="25"/>
      <c r="M64" s="25"/>
      <c r="N64" s="25"/>
      <c r="O64" s="25"/>
      <c r="P64" s="25"/>
      <c r="Q64" s="25"/>
      <c r="R64" s="25"/>
      <c r="S64" s="25"/>
      <c r="T64" s="25"/>
      <c r="U64" s="25"/>
      <c r="V64" s="25"/>
      <c r="W64" s="25"/>
      <c r="X64" s="25"/>
      <c r="Y64" s="25"/>
    </row>
    <row r="65" spans="1:25" ht="30" x14ac:dyDescent="0.25">
      <c r="A65" s="25"/>
      <c r="B65" s="7">
        <f t="shared" si="0"/>
        <v>62</v>
      </c>
      <c r="C65" s="7" t="s">
        <v>370</v>
      </c>
      <c r="D65" s="7" t="s">
        <v>218</v>
      </c>
      <c r="E65" s="7"/>
      <c r="F65" s="7"/>
      <c r="G65" s="9" t="s">
        <v>212</v>
      </c>
      <c r="H65" s="9" t="s">
        <v>311</v>
      </c>
      <c r="I65" s="9" t="s">
        <v>332</v>
      </c>
      <c r="J65" s="9" t="s">
        <v>214</v>
      </c>
      <c r="K65" s="7" t="s">
        <v>212</v>
      </c>
      <c r="L65" s="25"/>
      <c r="M65" s="25"/>
      <c r="N65" s="25"/>
      <c r="O65" s="25"/>
      <c r="P65" s="25"/>
      <c r="Q65" s="25"/>
      <c r="R65" s="25"/>
      <c r="S65" s="25"/>
      <c r="T65" s="25"/>
      <c r="U65" s="25"/>
      <c r="V65" s="25"/>
      <c r="W65" s="25"/>
      <c r="X65" s="25"/>
      <c r="Y65" s="25"/>
    </row>
    <row r="66" spans="1:25" ht="30" x14ac:dyDescent="0.25">
      <c r="A66" s="25"/>
      <c r="B66" s="7">
        <f t="shared" si="0"/>
        <v>63</v>
      </c>
      <c r="C66" s="7" t="s">
        <v>371</v>
      </c>
      <c r="D66" s="7" t="s">
        <v>218</v>
      </c>
      <c r="E66" s="7"/>
      <c r="F66" s="7"/>
      <c r="G66" s="9" t="s">
        <v>212</v>
      </c>
      <c r="H66" s="9" t="s">
        <v>311</v>
      </c>
      <c r="I66" s="9" t="s">
        <v>332</v>
      </c>
      <c r="J66" s="9" t="s">
        <v>332</v>
      </c>
      <c r="K66" s="7" t="s">
        <v>212</v>
      </c>
      <c r="L66" s="25"/>
      <c r="M66" s="25"/>
      <c r="N66" s="25"/>
      <c r="O66" s="25"/>
      <c r="P66" s="25"/>
      <c r="Q66" s="25"/>
      <c r="R66" s="25"/>
      <c r="S66" s="25"/>
      <c r="T66" s="25"/>
      <c r="U66" s="25"/>
      <c r="V66" s="25"/>
      <c r="W66" s="25"/>
      <c r="X66" s="25"/>
      <c r="Y66" s="25"/>
    </row>
    <row r="67" spans="1:25" ht="30" x14ac:dyDescent="0.25">
      <c r="A67" s="25"/>
      <c r="B67" s="7">
        <f t="shared" si="0"/>
        <v>64</v>
      </c>
      <c r="C67" s="7" t="s">
        <v>372</v>
      </c>
      <c r="D67" s="7" t="s">
        <v>218</v>
      </c>
      <c r="E67" s="7"/>
      <c r="F67" s="7"/>
      <c r="G67" s="9" t="s">
        <v>212</v>
      </c>
      <c r="H67" s="9" t="s">
        <v>311</v>
      </c>
      <c r="I67" s="9" t="s">
        <v>332</v>
      </c>
      <c r="J67" s="9" t="s">
        <v>214</v>
      </c>
      <c r="K67" s="7" t="s">
        <v>212</v>
      </c>
      <c r="L67" s="25"/>
      <c r="M67" s="25"/>
      <c r="N67" s="25"/>
      <c r="O67" s="25"/>
      <c r="P67" s="25"/>
      <c r="Q67" s="25"/>
      <c r="R67" s="25"/>
      <c r="S67" s="25"/>
      <c r="T67" s="25"/>
      <c r="U67" s="25"/>
      <c r="V67" s="25"/>
      <c r="W67" s="25"/>
      <c r="X67" s="25"/>
      <c r="Y67" s="25"/>
    </row>
    <row r="68" spans="1:25" ht="30" x14ac:dyDescent="0.25">
      <c r="A68" s="25"/>
      <c r="B68" s="7">
        <f t="shared" si="0"/>
        <v>65</v>
      </c>
      <c r="C68" s="7" t="s">
        <v>373</v>
      </c>
      <c r="D68" s="7" t="s">
        <v>218</v>
      </c>
      <c r="E68" s="7"/>
      <c r="F68" s="7"/>
      <c r="G68" s="9" t="s">
        <v>214</v>
      </c>
      <c r="H68" s="9" t="s">
        <v>306</v>
      </c>
      <c r="I68" s="9" t="s">
        <v>214</v>
      </c>
      <c r="J68" s="9" t="s">
        <v>214</v>
      </c>
      <c r="K68" s="7" t="s">
        <v>212</v>
      </c>
      <c r="L68" s="25"/>
      <c r="M68" s="25"/>
      <c r="N68" s="25"/>
      <c r="O68" s="25"/>
      <c r="P68" s="25"/>
      <c r="Q68" s="25"/>
      <c r="R68" s="25"/>
      <c r="S68" s="25"/>
      <c r="T68" s="25"/>
      <c r="U68" s="25"/>
      <c r="V68" s="25"/>
      <c r="W68" s="25"/>
      <c r="X68" s="25"/>
      <c r="Y68" s="25"/>
    </row>
    <row r="69" spans="1:25" ht="30" x14ac:dyDescent="0.25">
      <c r="A69" s="25"/>
      <c r="B69" s="7">
        <f t="shared" si="0"/>
        <v>66</v>
      </c>
      <c r="C69" s="7" t="s">
        <v>374</v>
      </c>
      <c r="D69" s="9" t="s">
        <v>217</v>
      </c>
      <c r="E69" s="7"/>
      <c r="F69" s="7"/>
      <c r="G69" s="9" t="s">
        <v>212</v>
      </c>
      <c r="H69" s="9" t="s">
        <v>311</v>
      </c>
      <c r="I69" s="9" t="s">
        <v>214</v>
      </c>
      <c r="J69" s="9" t="s">
        <v>214</v>
      </c>
      <c r="K69" s="7" t="s">
        <v>212</v>
      </c>
      <c r="L69" s="25"/>
      <c r="M69" s="25"/>
      <c r="N69" s="25"/>
      <c r="O69" s="25"/>
      <c r="P69" s="25"/>
      <c r="Q69" s="25"/>
      <c r="R69" s="25"/>
      <c r="S69" s="25"/>
      <c r="T69" s="25"/>
      <c r="U69" s="25"/>
      <c r="V69" s="25"/>
      <c r="W69" s="25"/>
      <c r="X69" s="25"/>
      <c r="Y69" s="25"/>
    </row>
    <row r="70" spans="1:25" ht="30" x14ac:dyDescent="0.25">
      <c r="A70" s="25"/>
      <c r="B70" s="7">
        <f t="shared" si="0"/>
        <v>67</v>
      </c>
      <c r="C70" s="7" t="s">
        <v>375</v>
      </c>
      <c r="D70" s="9" t="s">
        <v>217</v>
      </c>
      <c r="E70" s="7"/>
      <c r="F70" s="7"/>
      <c r="G70" s="9" t="s">
        <v>212</v>
      </c>
      <c r="H70" s="9" t="s">
        <v>311</v>
      </c>
      <c r="I70" s="9" t="s">
        <v>214</v>
      </c>
      <c r="J70" s="9" t="s">
        <v>214</v>
      </c>
      <c r="K70" s="7" t="s">
        <v>212</v>
      </c>
      <c r="L70" s="25"/>
      <c r="M70" s="25"/>
      <c r="N70" s="25"/>
      <c r="O70" s="25"/>
      <c r="P70" s="25"/>
      <c r="Q70" s="25"/>
      <c r="R70" s="25"/>
      <c r="S70" s="25"/>
      <c r="T70" s="25"/>
      <c r="U70" s="25"/>
      <c r="V70" s="25"/>
      <c r="W70" s="25"/>
      <c r="X70" s="25"/>
      <c r="Y70" s="25"/>
    </row>
    <row r="71" spans="1:25" ht="30.75" thickBot="1" x14ac:dyDescent="0.3">
      <c r="A71" s="25"/>
      <c r="B71" s="233">
        <f t="shared" si="0"/>
        <v>68</v>
      </c>
      <c r="C71" s="233" t="s">
        <v>376</v>
      </c>
      <c r="D71" s="246" t="s">
        <v>217</v>
      </c>
      <c r="E71" s="233"/>
      <c r="F71" s="233"/>
      <c r="G71" s="246" t="s">
        <v>214</v>
      </c>
      <c r="H71" s="246" t="s">
        <v>306</v>
      </c>
      <c r="I71" s="246" t="s">
        <v>214</v>
      </c>
      <c r="J71" s="246" t="s">
        <v>214</v>
      </c>
      <c r="K71" s="7" t="s">
        <v>212</v>
      </c>
      <c r="L71" s="25"/>
      <c r="M71" s="25"/>
      <c r="N71" s="25"/>
      <c r="O71" s="25"/>
      <c r="P71" s="25"/>
      <c r="Q71" s="25"/>
      <c r="R71" s="25"/>
      <c r="S71" s="25"/>
      <c r="T71" s="25"/>
      <c r="U71" s="25"/>
      <c r="V71" s="25"/>
      <c r="W71" s="25"/>
      <c r="X71" s="25"/>
      <c r="Y71" s="25"/>
    </row>
    <row r="72" spans="1:25" ht="30" x14ac:dyDescent="0.25">
      <c r="A72" s="25"/>
      <c r="B72" s="225">
        <f t="shared" si="0"/>
        <v>69</v>
      </c>
      <c r="C72" s="225" t="s">
        <v>242</v>
      </c>
      <c r="D72" s="225" t="s">
        <v>235</v>
      </c>
      <c r="E72" s="225"/>
      <c r="F72" s="225"/>
      <c r="G72" s="394" t="s">
        <v>214</v>
      </c>
      <c r="H72" s="394" t="s">
        <v>311</v>
      </c>
      <c r="I72" s="394" t="s">
        <v>212</v>
      </c>
      <c r="J72" s="394" t="s">
        <v>212</v>
      </c>
      <c r="K72" s="7" t="s">
        <v>212</v>
      </c>
      <c r="L72" s="25"/>
      <c r="M72" s="25"/>
      <c r="N72" s="25"/>
      <c r="O72" s="25"/>
      <c r="P72" s="25"/>
      <c r="Q72" s="25"/>
      <c r="R72" s="25"/>
      <c r="S72" s="25"/>
      <c r="T72" s="25"/>
      <c r="U72" s="25"/>
      <c r="V72" s="25"/>
      <c r="W72" s="25"/>
      <c r="X72" s="25"/>
      <c r="Y72" s="25"/>
    </row>
    <row r="73" spans="1:25" ht="30" x14ac:dyDescent="0.25">
      <c r="A73" s="25"/>
      <c r="B73" s="7">
        <f t="shared" si="0"/>
        <v>70</v>
      </c>
      <c r="C73" s="7" t="s">
        <v>243</v>
      </c>
      <c r="D73" s="7" t="s">
        <v>235</v>
      </c>
      <c r="E73" s="7"/>
      <c r="F73" s="7"/>
      <c r="G73" s="9" t="s">
        <v>214</v>
      </c>
      <c r="H73" s="9" t="s">
        <v>311</v>
      </c>
      <c r="I73" s="9" t="s">
        <v>212</v>
      </c>
      <c r="J73" s="9" t="s">
        <v>212</v>
      </c>
      <c r="K73" s="7" t="s">
        <v>212</v>
      </c>
      <c r="L73" s="25"/>
      <c r="M73" s="25"/>
      <c r="N73" s="25"/>
      <c r="O73" s="25"/>
      <c r="P73" s="25"/>
      <c r="Q73" s="25"/>
      <c r="R73" s="25"/>
      <c r="S73" s="25"/>
      <c r="T73" s="25"/>
      <c r="U73" s="25"/>
      <c r="V73" s="25"/>
      <c r="W73" s="25"/>
      <c r="X73" s="25"/>
      <c r="Y73" s="25"/>
    </row>
    <row r="74" spans="1:25" ht="30" x14ac:dyDescent="0.25">
      <c r="A74" s="25"/>
      <c r="B74" s="7">
        <f t="shared" si="0"/>
        <v>71</v>
      </c>
      <c r="C74" s="7" t="s">
        <v>244</v>
      </c>
      <c r="D74" s="7" t="s">
        <v>235</v>
      </c>
      <c r="E74" s="7"/>
      <c r="F74" s="7"/>
      <c r="G74" s="9" t="s">
        <v>214</v>
      </c>
      <c r="H74" s="9" t="s">
        <v>311</v>
      </c>
      <c r="I74" s="9" t="s">
        <v>212</v>
      </c>
      <c r="J74" s="9" t="s">
        <v>212</v>
      </c>
      <c r="K74" s="7" t="s">
        <v>212</v>
      </c>
      <c r="L74" s="25"/>
      <c r="M74" s="25"/>
      <c r="N74" s="25"/>
      <c r="O74" s="25"/>
      <c r="P74" s="25"/>
      <c r="Q74" s="25"/>
      <c r="R74" s="25"/>
      <c r="S74" s="25"/>
      <c r="T74" s="25"/>
      <c r="U74" s="25"/>
      <c r="V74" s="25"/>
      <c r="W74" s="25"/>
      <c r="X74" s="25"/>
      <c r="Y74" s="25"/>
    </row>
    <row r="75" spans="1:25" ht="30" x14ac:dyDescent="0.25">
      <c r="A75" s="25"/>
      <c r="B75" s="7">
        <f t="shared" si="0"/>
        <v>72</v>
      </c>
      <c r="C75" s="7" t="s">
        <v>248</v>
      </c>
      <c r="D75" s="7" t="s">
        <v>235</v>
      </c>
      <c r="E75" s="7"/>
      <c r="F75" s="7"/>
      <c r="G75" s="9" t="s">
        <v>212</v>
      </c>
      <c r="H75" s="9" t="s">
        <v>311</v>
      </c>
      <c r="I75" s="9" t="s">
        <v>212</v>
      </c>
      <c r="J75" s="9" t="s">
        <v>212</v>
      </c>
      <c r="K75" s="7" t="s">
        <v>212</v>
      </c>
      <c r="L75" s="25"/>
      <c r="M75" s="25"/>
      <c r="N75" s="25"/>
      <c r="O75" s="25"/>
      <c r="P75" s="25"/>
      <c r="Q75" s="25"/>
      <c r="R75" s="25"/>
      <c r="S75" s="25"/>
      <c r="T75" s="25"/>
      <c r="U75" s="25"/>
      <c r="V75" s="25"/>
      <c r="W75" s="25"/>
      <c r="X75" s="25"/>
      <c r="Y75" s="25"/>
    </row>
    <row r="76" spans="1:25" ht="29.65" customHeight="1" x14ac:dyDescent="0.25">
      <c r="A76" s="25"/>
      <c r="B76" s="7">
        <f t="shared" si="0"/>
        <v>73</v>
      </c>
      <c r="C76" s="7" t="s">
        <v>252</v>
      </c>
      <c r="D76" s="7" t="s">
        <v>235</v>
      </c>
      <c r="E76" s="7"/>
      <c r="F76" s="7"/>
      <c r="G76" s="9" t="s">
        <v>340</v>
      </c>
      <c r="H76" s="9" t="s">
        <v>341</v>
      </c>
      <c r="I76" s="9" t="s">
        <v>212</v>
      </c>
      <c r="J76" s="9" t="s">
        <v>212</v>
      </c>
      <c r="K76" s="7" t="s">
        <v>212</v>
      </c>
      <c r="L76" s="25"/>
      <c r="M76" s="25"/>
      <c r="N76" s="25"/>
      <c r="O76" s="25"/>
      <c r="P76" s="25"/>
      <c r="Q76" s="25"/>
      <c r="R76" s="25"/>
      <c r="S76" s="25"/>
      <c r="T76" s="25"/>
      <c r="U76" s="25"/>
      <c r="V76" s="25"/>
      <c r="W76" s="25"/>
      <c r="X76" s="25"/>
      <c r="Y76" s="25"/>
    </row>
    <row r="77" spans="1:25" ht="30" x14ac:dyDescent="0.25">
      <c r="A77" s="25"/>
      <c r="B77" s="7">
        <f t="shared" ref="B77:B102" si="1">B76+1</f>
        <v>74</v>
      </c>
      <c r="C77" s="7" t="s">
        <v>249</v>
      </c>
      <c r="D77" s="7" t="s">
        <v>235</v>
      </c>
      <c r="E77" s="7"/>
      <c r="F77" s="7"/>
      <c r="G77" s="9" t="s">
        <v>212</v>
      </c>
      <c r="H77" s="9" t="s">
        <v>311</v>
      </c>
      <c r="I77" s="9" t="s">
        <v>212</v>
      </c>
      <c r="J77" s="9" t="s">
        <v>212</v>
      </c>
      <c r="K77" s="7" t="s">
        <v>212</v>
      </c>
      <c r="L77" s="25"/>
      <c r="M77" s="25"/>
      <c r="N77" s="25"/>
      <c r="O77" s="25"/>
      <c r="P77" s="25"/>
      <c r="Q77" s="25"/>
      <c r="R77" s="25"/>
      <c r="S77" s="25"/>
      <c r="T77" s="25"/>
      <c r="U77" s="25"/>
      <c r="V77" s="25"/>
      <c r="W77" s="25"/>
      <c r="X77" s="25"/>
      <c r="Y77" s="25"/>
    </row>
    <row r="78" spans="1:25" ht="30" x14ac:dyDescent="0.25">
      <c r="A78" s="25"/>
      <c r="B78" s="7">
        <f t="shared" si="1"/>
        <v>75</v>
      </c>
      <c r="C78" s="7" t="s">
        <v>245</v>
      </c>
      <c r="D78" s="7" t="s">
        <v>235</v>
      </c>
      <c r="E78" s="7"/>
      <c r="F78" s="7"/>
      <c r="G78" s="9" t="s">
        <v>214</v>
      </c>
      <c r="H78" s="9" t="s">
        <v>311</v>
      </c>
      <c r="I78" s="9" t="s">
        <v>212</v>
      </c>
      <c r="J78" s="9" t="s">
        <v>212</v>
      </c>
      <c r="K78" s="7" t="s">
        <v>212</v>
      </c>
      <c r="L78" s="25"/>
      <c r="M78" s="25"/>
      <c r="N78" s="25"/>
      <c r="O78" s="25"/>
      <c r="P78" s="25"/>
      <c r="Q78" s="25"/>
      <c r="R78" s="25"/>
      <c r="S78" s="25"/>
      <c r="T78" s="25"/>
      <c r="U78" s="25"/>
      <c r="V78" s="25"/>
      <c r="W78" s="25"/>
      <c r="X78" s="25"/>
      <c r="Y78" s="25"/>
    </row>
    <row r="79" spans="1:25" ht="30" x14ac:dyDescent="0.25">
      <c r="A79" s="25"/>
      <c r="B79" s="7">
        <f t="shared" si="1"/>
        <v>76</v>
      </c>
      <c r="C79" s="7" t="s">
        <v>250</v>
      </c>
      <c r="D79" s="7" t="s">
        <v>235</v>
      </c>
      <c r="E79" s="7"/>
      <c r="F79" s="7"/>
      <c r="G79" s="9" t="s">
        <v>212</v>
      </c>
      <c r="H79" s="9" t="s">
        <v>311</v>
      </c>
      <c r="I79" s="9" t="s">
        <v>212</v>
      </c>
      <c r="J79" s="9" t="s">
        <v>212</v>
      </c>
      <c r="K79" s="7" t="s">
        <v>212</v>
      </c>
      <c r="L79" s="25"/>
      <c r="M79" s="25"/>
      <c r="N79" s="25"/>
      <c r="O79" s="25"/>
      <c r="P79" s="25"/>
      <c r="Q79" s="25"/>
      <c r="R79" s="25"/>
      <c r="S79" s="25"/>
      <c r="T79" s="25"/>
      <c r="U79" s="25"/>
      <c r="V79" s="25"/>
      <c r="W79" s="25"/>
      <c r="X79" s="25"/>
      <c r="Y79" s="25"/>
    </row>
    <row r="80" spans="1:25" ht="30.75" thickBot="1" x14ac:dyDescent="0.3">
      <c r="A80" s="25"/>
      <c r="B80" s="233">
        <f t="shared" si="1"/>
        <v>77</v>
      </c>
      <c r="C80" s="233" t="s">
        <v>246</v>
      </c>
      <c r="D80" s="233" t="s">
        <v>235</v>
      </c>
      <c r="E80" s="233"/>
      <c r="F80" s="233"/>
      <c r="G80" s="246" t="s">
        <v>214</v>
      </c>
      <c r="H80" s="246" t="s">
        <v>311</v>
      </c>
      <c r="I80" s="246" t="s">
        <v>212</v>
      </c>
      <c r="J80" s="246" t="s">
        <v>212</v>
      </c>
      <c r="K80" s="7" t="s">
        <v>212</v>
      </c>
      <c r="L80" s="25"/>
      <c r="M80" s="25"/>
      <c r="N80" s="25"/>
      <c r="O80" s="25"/>
      <c r="P80" s="25"/>
      <c r="Q80" s="25"/>
      <c r="R80" s="25"/>
      <c r="S80" s="25"/>
      <c r="T80" s="25"/>
      <c r="U80" s="25"/>
      <c r="V80" s="25"/>
      <c r="W80" s="25"/>
      <c r="X80" s="25"/>
      <c r="Y80" s="25"/>
    </row>
    <row r="81" spans="1:25" x14ac:dyDescent="0.25">
      <c r="A81" s="25"/>
      <c r="B81" s="261">
        <f t="shared" si="1"/>
        <v>78</v>
      </c>
      <c r="C81" s="261" t="s">
        <v>269</v>
      </c>
      <c r="D81" s="261" t="s">
        <v>377</v>
      </c>
      <c r="E81" s="261"/>
      <c r="F81" s="261"/>
      <c r="G81" s="261" t="s">
        <v>214</v>
      </c>
      <c r="H81" s="556" t="s">
        <v>378</v>
      </c>
      <c r="I81" s="261" t="s">
        <v>214</v>
      </c>
      <c r="J81" s="243" t="s">
        <v>212</v>
      </c>
      <c r="K81" s="7" t="s">
        <v>212</v>
      </c>
      <c r="L81" s="25"/>
      <c r="M81" s="25"/>
      <c r="N81" s="25"/>
      <c r="O81" s="25"/>
      <c r="P81" s="25"/>
      <c r="Q81" s="25"/>
      <c r="R81" s="25"/>
      <c r="S81" s="25"/>
      <c r="T81" s="25"/>
      <c r="U81" s="25"/>
      <c r="V81" s="25"/>
      <c r="W81" s="25"/>
      <c r="X81" s="25"/>
      <c r="Y81" s="25"/>
    </row>
    <row r="82" spans="1:25" x14ac:dyDescent="0.25">
      <c r="A82" s="25"/>
      <c r="B82" s="7">
        <f t="shared" si="1"/>
        <v>79</v>
      </c>
      <c r="C82" s="7" t="s">
        <v>268</v>
      </c>
      <c r="D82" s="7" t="s">
        <v>377</v>
      </c>
      <c r="E82" s="7"/>
      <c r="F82" s="7"/>
      <c r="G82" s="7" t="s">
        <v>214</v>
      </c>
      <c r="H82" s="9" t="s">
        <v>378</v>
      </c>
      <c r="I82" s="7" t="s">
        <v>214</v>
      </c>
      <c r="J82" s="9" t="s">
        <v>212</v>
      </c>
      <c r="K82" s="7" t="s">
        <v>212</v>
      </c>
      <c r="L82" s="25"/>
      <c r="M82" s="25"/>
      <c r="N82" s="25"/>
      <c r="O82" s="25"/>
      <c r="P82" s="25"/>
      <c r="Q82" s="25"/>
      <c r="R82" s="25"/>
      <c r="S82" s="25"/>
      <c r="T82" s="25"/>
      <c r="U82" s="25"/>
      <c r="V82" s="25"/>
      <c r="W82" s="25"/>
      <c r="X82" s="25"/>
      <c r="Y82" s="25"/>
    </row>
    <row r="83" spans="1:25" ht="30.75" thickBot="1" x14ac:dyDescent="0.3">
      <c r="A83" s="25"/>
      <c r="B83" s="233">
        <f t="shared" si="1"/>
        <v>80</v>
      </c>
      <c r="C83" s="233" t="s">
        <v>270</v>
      </c>
      <c r="D83" s="233" t="s">
        <v>377</v>
      </c>
      <c r="E83" s="233"/>
      <c r="F83" s="233"/>
      <c r="G83" s="233" t="s">
        <v>212</v>
      </c>
      <c r="H83" s="557" t="s">
        <v>379</v>
      </c>
      <c r="I83" s="233" t="s">
        <v>214</v>
      </c>
      <c r="J83" s="246" t="s">
        <v>380</v>
      </c>
      <c r="K83" s="7" t="s">
        <v>212</v>
      </c>
      <c r="L83" s="25"/>
      <c r="M83" s="25"/>
      <c r="N83" s="25"/>
      <c r="O83" s="25"/>
      <c r="P83" s="25"/>
      <c r="Q83" s="25"/>
      <c r="R83" s="25"/>
      <c r="S83" s="25"/>
      <c r="T83" s="25"/>
      <c r="U83" s="25"/>
      <c r="V83" s="25"/>
      <c r="W83" s="25"/>
      <c r="X83" s="25"/>
      <c r="Y83" s="25"/>
    </row>
    <row r="84" spans="1:25" x14ac:dyDescent="0.25">
      <c r="A84" s="25"/>
      <c r="B84" s="225">
        <f t="shared" si="1"/>
        <v>81</v>
      </c>
      <c r="C84" s="225"/>
      <c r="D84" s="225"/>
      <c r="E84" s="555"/>
      <c r="F84" s="555"/>
      <c r="G84" s="225"/>
      <c r="H84" s="394"/>
      <c r="I84" s="555"/>
      <c r="J84" s="555"/>
      <c r="K84" s="7" t="s">
        <v>212</v>
      </c>
      <c r="L84" s="25"/>
      <c r="M84" s="25"/>
      <c r="N84" s="25"/>
      <c r="O84" s="25"/>
      <c r="P84" s="25"/>
      <c r="Q84" s="25"/>
      <c r="R84" s="25"/>
      <c r="S84" s="25"/>
      <c r="T84" s="25"/>
      <c r="U84" s="25"/>
      <c r="V84" s="25"/>
      <c r="W84" s="25"/>
      <c r="X84" s="25"/>
      <c r="Y84" s="25"/>
    </row>
    <row r="85" spans="1:25" x14ac:dyDescent="0.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x14ac:dyDescent="0.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x14ac:dyDescent="0.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x14ac:dyDescent="0.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x14ac:dyDescent="0.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x14ac:dyDescent="0.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x14ac:dyDescent="0.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x14ac:dyDescent="0.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x14ac:dyDescent="0.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x14ac:dyDescent="0.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x14ac:dyDescent="0.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x14ac:dyDescent="0.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x14ac:dyDescent="0.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x14ac:dyDescent="0.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x14ac:dyDescent="0.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x14ac:dyDescent="0.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x14ac:dyDescent="0.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x14ac:dyDescent="0.25">
      <c r="A102" s="25"/>
      <c r="B102" s="7">
        <f t="shared" si="1"/>
        <v>99</v>
      </c>
      <c r="K102" s="7"/>
      <c r="L102" s="25"/>
      <c r="M102" s="25"/>
      <c r="N102" s="25"/>
      <c r="O102" s="25"/>
      <c r="P102" s="25"/>
      <c r="Q102" s="25"/>
      <c r="R102" s="25"/>
      <c r="S102" s="25"/>
      <c r="T102" s="25"/>
      <c r="U102" s="25"/>
      <c r="V102" s="25"/>
      <c r="W102" s="25"/>
      <c r="X102" s="25"/>
      <c r="Y102" s="25"/>
    </row>
    <row r="103" spans="1:25" x14ac:dyDescent="0.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x14ac:dyDescent="0.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x14ac:dyDescent="0.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x14ac:dyDescent="0.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x14ac:dyDescent="0.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x14ac:dyDescent="0.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x14ac:dyDescent="0.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x14ac:dyDescent="0.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S75DopqFiqFCAQdMjYUGVR0lpbhGE58/s+U/rC6denGSCDWOdlq0TEXYSUAM0cVmlCp0za49+jbEiNM1hWS1gg==" saltValue="kBRhg/5CWmbwy0kh6yS1tw=="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28515625" defaultRowHeight="15" zeroHeight="1" x14ac:dyDescent="0.25"/>
  <cols>
    <col min="1" max="1" width="8.7109375" customWidth="1"/>
    <col min="2" max="2" width="79.28515625" customWidth="1"/>
    <col min="3" max="3" width="24.28515625" customWidth="1"/>
    <col min="4" max="4" width="31.28515625" customWidth="1"/>
    <col min="5" max="5" width="114.5703125" customWidth="1"/>
    <col min="6" max="6" width="35.7109375" customWidth="1"/>
    <col min="7" max="11" width="17.7109375" customWidth="1"/>
    <col min="12" max="13" width="41.28515625" customWidth="1"/>
    <col min="14" max="14" width="96" customWidth="1"/>
    <col min="15" max="15" width="9.28515625" customWidth="1"/>
    <col min="16" max="19" width="9.28515625" hidden="1" customWidth="1"/>
    <col min="20" max="16380" width="14.42578125" hidden="1" customWidth="1"/>
    <col min="16381" max="16383" width="14.42578125" style="25" customWidth="1"/>
    <col min="16384" max="16384" width="9.28515625" style="25"/>
  </cols>
  <sheetData>
    <row r="1" spans="1:20" x14ac:dyDescent="0.25">
      <c r="A1" s="25"/>
      <c r="B1" s="1010" t="s">
        <v>381</v>
      </c>
      <c r="C1" s="1011"/>
      <c r="D1" s="1011"/>
      <c r="E1" s="1011"/>
      <c r="F1" s="1011"/>
      <c r="G1" s="1011"/>
      <c r="H1" s="1011"/>
      <c r="I1" s="1011"/>
      <c r="J1" s="1011"/>
      <c r="K1" s="1011"/>
      <c r="L1" s="1011"/>
      <c r="M1" s="1011"/>
      <c r="N1" s="1012"/>
      <c r="O1" s="25"/>
      <c r="P1" s="25"/>
      <c r="Q1" s="25"/>
      <c r="R1" s="25"/>
      <c r="S1" s="25"/>
      <c r="T1" s="25"/>
    </row>
    <row r="2" spans="1:20" ht="15.75" thickBot="1" x14ac:dyDescent="0.3">
      <c r="A2" s="25"/>
      <c r="B2" s="1013"/>
      <c r="C2" s="1014"/>
      <c r="D2" s="1014"/>
      <c r="E2" s="1014"/>
      <c r="F2" s="1014"/>
      <c r="G2" s="1014"/>
      <c r="H2" s="1014"/>
      <c r="I2" s="1014"/>
      <c r="J2" s="1014"/>
      <c r="K2" s="1014"/>
      <c r="L2" s="1014"/>
      <c r="M2" s="1014"/>
      <c r="N2" s="1015"/>
      <c r="O2" s="25"/>
      <c r="P2" s="25"/>
      <c r="Q2" s="25"/>
      <c r="R2" s="25"/>
      <c r="S2" s="25"/>
      <c r="T2" s="25"/>
    </row>
    <row r="3" spans="1:20" ht="18.75" x14ac:dyDescent="0.25">
      <c r="A3" s="25"/>
      <c r="B3" s="1022" t="s">
        <v>267</v>
      </c>
      <c r="C3" s="1019" t="s">
        <v>382</v>
      </c>
      <c r="D3" s="1020"/>
      <c r="E3" s="1020"/>
      <c r="F3" s="1021"/>
      <c r="G3" s="1035" t="s">
        <v>383</v>
      </c>
      <c r="H3" s="1036"/>
      <c r="I3" s="1036"/>
      <c r="J3" s="1036"/>
      <c r="K3" s="1036"/>
      <c r="L3" s="1036"/>
      <c r="M3" s="1037"/>
      <c r="N3" s="1016" t="s">
        <v>384</v>
      </c>
      <c r="O3" s="25"/>
      <c r="P3" s="25"/>
      <c r="Q3" s="25"/>
      <c r="R3" s="25"/>
      <c r="S3" s="25"/>
      <c r="T3" s="25"/>
    </row>
    <row r="4" spans="1:20" ht="98.1" customHeight="1" x14ac:dyDescent="0.25">
      <c r="A4" s="25"/>
      <c r="B4" s="1023"/>
      <c r="C4" s="1033" t="s">
        <v>385</v>
      </c>
      <c r="D4" s="1031" t="s">
        <v>386</v>
      </c>
      <c r="E4" s="1031" t="s">
        <v>387</v>
      </c>
      <c r="F4" s="1029" t="s">
        <v>388</v>
      </c>
      <c r="G4" s="63" t="s">
        <v>389</v>
      </c>
      <c r="H4" s="224" t="s">
        <v>390</v>
      </c>
      <c r="I4" s="224" t="s">
        <v>391</v>
      </c>
      <c r="J4" s="224" t="s">
        <v>392</v>
      </c>
      <c r="K4" s="224" t="s">
        <v>393</v>
      </c>
      <c r="L4" s="1027" t="s">
        <v>394</v>
      </c>
      <c r="M4" s="1025" t="s">
        <v>395</v>
      </c>
      <c r="N4" s="1017"/>
      <c r="O4" s="25"/>
      <c r="P4" s="25"/>
      <c r="Q4" s="25"/>
      <c r="R4" s="25"/>
      <c r="S4" s="25"/>
      <c r="T4" s="25"/>
    </row>
    <row r="5" spans="1:20" ht="65.650000000000006" customHeight="1" thickBot="1" x14ac:dyDescent="0.3">
      <c r="A5" s="25"/>
      <c r="B5" s="1024"/>
      <c r="C5" s="1034"/>
      <c r="D5" s="1032"/>
      <c r="E5" s="1032"/>
      <c r="F5" s="1030"/>
      <c r="G5" s="227" t="s">
        <v>123</v>
      </c>
      <c r="H5" s="226" t="s">
        <v>396</v>
      </c>
      <c r="I5" s="226" t="s">
        <v>397</v>
      </c>
      <c r="J5" s="226" t="s">
        <v>398</v>
      </c>
      <c r="K5" s="226" t="s">
        <v>399</v>
      </c>
      <c r="L5" s="1028"/>
      <c r="M5" s="1026"/>
      <c r="N5" s="1018"/>
      <c r="O5" s="25"/>
      <c r="P5" s="25"/>
      <c r="Q5" s="25"/>
      <c r="R5" s="25"/>
      <c r="S5" s="25"/>
      <c r="T5" s="25"/>
    </row>
    <row r="6" spans="1:20" ht="30" x14ac:dyDescent="0.25">
      <c r="A6" s="25"/>
      <c r="B6" s="341" t="s">
        <v>305</v>
      </c>
      <c r="C6" s="339" t="s">
        <v>398</v>
      </c>
      <c r="D6" s="243" t="s">
        <v>398</v>
      </c>
      <c r="E6" s="344" t="s">
        <v>400</v>
      </c>
      <c r="F6" s="342" t="s">
        <v>398</v>
      </c>
      <c r="G6" s="228" t="s">
        <v>401</v>
      </c>
      <c r="H6" s="225" t="s">
        <v>401</v>
      </c>
      <c r="I6" s="225" t="s">
        <v>401</v>
      </c>
      <c r="J6" s="225">
        <v>1</v>
      </c>
      <c r="K6" s="7" t="s">
        <v>401</v>
      </c>
      <c r="L6" s="225" t="s">
        <v>401</v>
      </c>
      <c r="M6" s="229">
        <v>1</v>
      </c>
      <c r="N6" s="238" t="s">
        <v>400</v>
      </c>
      <c r="O6" s="25"/>
      <c r="P6" s="25"/>
      <c r="Q6" s="25"/>
      <c r="R6" s="25"/>
      <c r="S6" s="25"/>
      <c r="T6" s="25"/>
    </row>
    <row r="7" spans="1:20" ht="30" x14ac:dyDescent="0.25">
      <c r="A7" s="25"/>
      <c r="B7" s="235" t="s">
        <v>307</v>
      </c>
      <c r="C7" s="340" t="s">
        <v>398</v>
      </c>
      <c r="D7" s="9" t="s">
        <v>398</v>
      </c>
      <c r="E7" s="237" t="s">
        <v>400</v>
      </c>
      <c r="F7" s="342" t="s">
        <v>398</v>
      </c>
      <c r="G7" s="230" t="s">
        <v>401</v>
      </c>
      <c r="H7" s="7" t="s">
        <v>401</v>
      </c>
      <c r="I7" s="7" t="s">
        <v>401</v>
      </c>
      <c r="J7" s="7">
        <v>1</v>
      </c>
      <c r="K7" s="7" t="s">
        <v>401</v>
      </c>
      <c r="L7" s="7" t="s">
        <v>401</v>
      </c>
      <c r="M7" s="231">
        <v>1</v>
      </c>
      <c r="N7" s="239" t="s">
        <v>400</v>
      </c>
      <c r="O7" s="25"/>
      <c r="P7" s="25"/>
      <c r="Q7" s="25"/>
      <c r="R7" s="25"/>
      <c r="S7" s="25"/>
      <c r="T7" s="25"/>
    </row>
    <row r="8" spans="1:20" ht="30" x14ac:dyDescent="0.25">
      <c r="A8" s="25"/>
      <c r="B8" s="235" t="s">
        <v>308</v>
      </c>
      <c r="C8" s="340" t="s">
        <v>398</v>
      </c>
      <c r="D8" s="9" t="s">
        <v>398</v>
      </c>
      <c r="E8" s="237" t="s">
        <v>400</v>
      </c>
      <c r="F8" s="342" t="s">
        <v>398</v>
      </c>
      <c r="G8" s="230" t="s">
        <v>401</v>
      </c>
      <c r="H8" s="7" t="s">
        <v>401</v>
      </c>
      <c r="I8" s="7" t="s">
        <v>401</v>
      </c>
      <c r="J8" s="7">
        <v>1</v>
      </c>
      <c r="K8" s="7" t="s">
        <v>401</v>
      </c>
      <c r="L8" s="7" t="s">
        <v>401</v>
      </c>
      <c r="M8" s="231">
        <v>1</v>
      </c>
      <c r="N8" s="239" t="s">
        <v>400</v>
      </c>
      <c r="O8" s="25"/>
      <c r="P8" s="25"/>
      <c r="Q8" s="25"/>
      <c r="R8" s="25"/>
      <c r="S8" s="25"/>
      <c r="T8" s="25"/>
    </row>
    <row r="9" spans="1:20" ht="30" x14ac:dyDescent="0.25">
      <c r="A9" s="25"/>
      <c r="B9" s="235" t="s">
        <v>309</v>
      </c>
      <c r="C9" s="340" t="s">
        <v>398</v>
      </c>
      <c r="D9" s="9" t="s">
        <v>398</v>
      </c>
      <c r="E9" s="237" t="s">
        <v>400</v>
      </c>
      <c r="F9" s="342" t="s">
        <v>398</v>
      </c>
      <c r="G9" s="230" t="s">
        <v>401</v>
      </c>
      <c r="H9" s="7" t="s">
        <v>401</v>
      </c>
      <c r="I9" s="7" t="s">
        <v>401</v>
      </c>
      <c r="J9" s="7">
        <v>1</v>
      </c>
      <c r="K9" s="7" t="s">
        <v>401</v>
      </c>
      <c r="L9" s="7" t="s">
        <v>401</v>
      </c>
      <c r="M9" s="231">
        <v>1</v>
      </c>
      <c r="N9" s="239" t="s">
        <v>400</v>
      </c>
      <c r="O9" s="25"/>
      <c r="P9" s="25"/>
      <c r="Q9" s="25"/>
      <c r="R9" s="25"/>
      <c r="S9" s="25"/>
      <c r="T9" s="25"/>
    </row>
    <row r="10" spans="1:20" ht="30" x14ac:dyDescent="0.25">
      <c r="A10" s="25"/>
      <c r="B10" s="235" t="s">
        <v>310</v>
      </c>
      <c r="C10" s="340" t="s">
        <v>398</v>
      </c>
      <c r="D10" s="9" t="s">
        <v>398</v>
      </c>
      <c r="E10" s="237" t="s">
        <v>402</v>
      </c>
      <c r="F10" s="242" t="s">
        <v>401</v>
      </c>
      <c r="G10" s="230" t="s">
        <v>401</v>
      </c>
      <c r="H10" s="7" t="s">
        <v>401</v>
      </c>
      <c r="I10" s="7" t="s">
        <v>401</v>
      </c>
      <c r="J10" s="7">
        <v>1</v>
      </c>
      <c r="K10" s="7" t="s">
        <v>401</v>
      </c>
      <c r="L10" s="7" t="s">
        <v>401</v>
      </c>
      <c r="M10" s="231" t="s">
        <v>401</v>
      </c>
      <c r="N10" s="239" t="s">
        <v>403</v>
      </c>
      <c r="O10" s="25"/>
      <c r="P10" s="25"/>
      <c r="Q10" s="25"/>
      <c r="R10" s="25"/>
      <c r="S10" s="25"/>
      <c r="T10" s="25"/>
    </row>
    <row r="11" spans="1:20" ht="30" x14ac:dyDescent="0.25">
      <c r="A11" s="25"/>
      <c r="B11" s="235" t="s">
        <v>312</v>
      </c>
      <c r="C11" s="340" t="s">
        <v>398</v>
      </c>
      <c r="D11" s="9" t="s">
        <v>398</v>
      </c>
      <c r="E11" s="237" t="s">
        <v>400</v>
      </c>
      <c r="F11" s="342" t="s">
        <v>398</v>
      </c>
      <c r="G11" s="230" t="s">
        <v>401</v>
      </c>
      <c r="H11" s="7" t="s">
        <v>401</v>
      </c>
      <c r="I11" s="7" t="s">
        <v>401</v>
      </c>
      <c r="J11" s="7">
        <v>1</v>
      </c>
      <c r="K11" s="7" t="s">
        <v>401</v>
      </c>
      <c r="L11" s="7" t="s">
        <v>401</v>
      </c>
      <c r="M11" s="231" t="s">
        <v>401</v>
      </c>
      <c r="N11" s="239" t="s">
        <v>400</v>
      </c>
      <c r="O11" s="25"/>
      <c r="P11" s="25"/>
      <c r="Q11" s="25"/>
      <c r="R11" s="25"/>
      <c r="S11" s="25"/>
      <c r="T11" s="25"/>
    </row>
    <row r="12" spans="1:20" ht="30" x14ac:dyDescent="0.25">
      <c r="A12" s="25"/>
      <c r="B12" s="235" t="s">
        <v>313</v>
      </c>
      <c r="C12" s="340" t="s">
        <v>398</v>
      </c>
      <c r="D12" s="9" t="s">
        <v>398</v>
      </c>
      <c r="E12" s="237" t="s">
        <v>402</v>
      </c>
      <c r="F12" s="242" t="s">
        <v>401</v>
      </c>
      <c r="G12" s="230" t="s">
        <v>401</v>
      </c>
      <c r="H12" s="7" t="s">
        <v>401</v>
      </c>
      <c r="I12" s="7" t="s">
        <v>401</v>
      </c>
      <c r="J12" s="7">
        <v>1</v>
      </c>
      <c r="K12" s="7" t="s">
        <v>401</v>
      </c>
      <c r="L12" s="7" t="s">
        <v>401</v>
      </c>
      <c r="M12" s="231" t="s">
        <v>401</v>
      </c>
      <c r="N12" s="239" t="s">
        <v>403</v>
      </c>
      <c r="O12" s="25"/>
      <c r="P12" s="25"/>
      <c r="Q12" s="25"/>
      <c r="R12" s="25"/>
      <c r="S12" s="25"/>
      <c r="T12" s="25"/>
    </row>
    <row r="13" spans="1:20" ht="30" x14ac:dyDescent="0.25">
      <c r="A13" s="25"/>
      <c r="B13" s="235" t="s">
        <v>314</v>
      </c>
      <c r="C13" s="340" t="s">
        <v>398</v>
      </c>
      <c r="D13" s="9" t="s">
        <v>398</v>
      </c>
      <c r="E13" s="237" t="s">
        <v>402</v>
      </c>
      <c r="F13" s="242" t="s">
        <v>401</v>
      </c>
      <c r="G13" s="230" t="s">
        <v>401</v>
      </c>
      <c r="H13" s="7" t="s">
        <v>401</v>
      </c>
      <c r="I13" s="7" t="s">
        <v>401</v>
      </c>
      <c r="J13" s="7">
        <v>1</v>
      </c>
      <c r="K13" s="7" t="s">
        <v>401</v>
      </c>
      <c r="L13" s="7" t="s">
        <v>401</v>
      </c>
      <c r="M13" s="231" t="s">
        <v>401</v>
      </c>
      <c r="N13" s="239" t="s">
        <v>403</v>
      </c>
      <c r="O13" s="25"/>
      <c r="P13" s="25"/>
      <c r="Q13" s="25"/>
      <c r="R13" s="25"/>
      <c r="S13" s="25"/>
      <c r="T13" s="25"/>
    </row>
    <row r="14" spans="1:20" ht="30" x14ac:dyDescent="0.25">
      <c r="A14" s="25"/>
      <c r="B14" s="235" t="s">
        <v>315</v>
      </c>
      <c r="C14" s="340" t="s">
        <v>398</v>
      </c>
      <c r="D14" s="9" t="s">
        <v>398</v>
      </c>
      <c r="E14" s="237" t="s">
        <v>402</v>
      </c>
      <c r="F14" s="242" t="s">
        <v>401</v>
      </c>
      <c r="G14" s="230" t="s">
        <v>401</v>
      </c>
      <c r="H14" s="7" t="s">
        <v>401</v>
      </c>
      <c r="I14" s="7" t="s">
        <v>401</v>
      </c>
      <c r="J14" s="7">
        <v>1</v>
      </c>
      <c r="K14" s="7" t="s">
        <v>401</v>
      </c>
      <c r="L14" s="7" t="s">
        <v>401</v>
      </c>
      <c r="M14" s="231" t="s">
        <v>401</v>
      </c>
      <c r="N14" s="239" t="s">
        <v>403</v>
      </c>
      <c r="O14" s="25"/>
      <c r="P14" s="25"/>
      <c r="Q14" s="25"/>
      <c r="R14" s="25"/>
      <c r="S14" s="25"/>
      <c r="T14" s="25"/>
    </row>
    <row r="15" spans="1:20" ht="30" x14ac:dyDescent="0.25">
      <c r="A15" s="25"/>
      <c r="B15" s="235" t="s">
        <v>316</v>
      </c>
      <c r="C15" s="340" t="s">
        <v>398</v>
      </c>
      <c r="D15" s="9" t="s">
        <v>398</v>
      </c>
      <c r="E15" s="237" t="s">
        <v>404</v>
      </c>
      <c r="F15" s="242" t="s">
        <v>401</v>
      </c>
      <c r="G15" s="230" t="s">
        <v>401</v>
      </c>
      <c r="H15" s="7" t="s">
        <v>401</v>
      </c>
      <c r="I15" s="7" t="s">
        <v>401</v>
      </c>
      <c r="J15" s="7">
        <v>1</v>
      </c>
      <c r="K15" s="7" t="s">
        <v>401</v>
      </c>
      <c r="L15" s="7" t="s">
        <v>401</v>
      </c>
      <c r="M15" s="231" t="s">
        <v>401</v>
      </c>
      <c r="N15" s="239" t="s">
        <v>405</v>
      </c>
      <c r="O15" s="25"/>
      <c r="P15" s="25"/>
      <c r="Q15" s="25"/>
      <c r="R15" s="25"/>
      <c r="S15" s="25"/>
      <c r="T15" s="25"/>
    </row>
    <row r="16" spans="1:20" ht="30" x14ac:dyDescent="0.25">
      <c r="A16" s="25"/>
      <c r="B16" s="235" t="s">
        <v>317</v>
      </c>
      <c r="C16" s="340" t="s">
        <v>398</v>
      </c>
      <c r="D16" s="9" t="s">
        <v>398</v>
      </c>
      <c r="E16" s="237" t="s">
        <v>404</v>
      </c>
      <c r="F16" s="242" t="s">
        <v>401</v>
      </c>
      <c r="G16" s="230" t="s">
        <v>401</v>
      </c>
      <c r="H16" s="7" t="s">
        <v>401</v>
      </c>
      <c r="I16" s="7" t="s">
        <v>401</v>
      </c>
      <c r="J16" s="7">
        <v>1</v>
      </c>
      <c r="K16" s="7" t="s">
        <v>401</v>
      </c>
      <c r="L16" s="7" t="s">
        <v>401</v>
      </c>
      <c r="M16" s="231" t="s">
        <v>401</v>
      </c>
      <c r="N16" s="239" t="s">
        <v>405</v>
      </c>
      <c r="O16" s="25"/>
      <c r="P16" s="25"/>
      <c r="Q16" s="25"/>
      <c r="R16" s="25"/>
      <c r="S16" s="25"/>
      <c r="T16" s="25"/>
    </row>
    <row r="17" spans="1:20" x14ac:dyDescent="0.25">
      <c r="A17" s="25"/>
      <c r="B17" s="235" t="s">
        <v>318</v>
      </c>
      <c r="C17" s="230" t="s">
        <v>123</v>
      </c>
      <c r="D17" s="7" t="s">
        <v>406</v>
      </c>
      <c r="E17" s="231" t="s">
        <v>407</v>
      </c>
      <c r="F17" s="242" t="s">
        <v>396</v>
      </c>
      <c r="G17" s="230">
        <v>4</v>
      </c>
      <c r="H17" s="7">
        <v>7</v>
      </c>
      <c r="I17" s="7" t="s">
        <v>401</v>
      </c>
      <c r="J17" s="7" t="s">
        <v>401</v>
      </c>
      <c r="K17" s="7" t="s">
        <v>401</v>
      </c>
      <c r="L17" s="7">
        <v>10</v>
      </c>
      <c r="M17" s="231">
        <v>15</v>
      </c>
      <c r="N17" s="239" t="s">
        <v>408</v>
      </c>
      <c r="O17" s="25"/>
      <c r="P17" s="25"/>
      <c r="Q17" s="25"/>
      <c r="R17" s="25"/>
      <c r="S17" s="25"/>
      <c r="T17" s="25"/>
    </row>
    <row r="18" spans="1:20" x14ac:dyDescent="0.25">
      <c r="A18" s="25"/>
      <c r="B18" s="235" t="s">
        <v>319</v>
      </c>
      <c r="C18" s="230" t="s">
        <v>123</v>
      </c>
      <c r="D18" s="7" t="s">
        <v>406</v>
      </c>
      <c r="E18" s="231" t="s">
        <v>319</v>
      </c>
      <c r="F18" s="242" t="s">
        <v>396</v>
      </c>
      <c r="G18" s="230">
        <v>10</v>
      </c>
      <c r="H18" s="7">
        <v>15</v>
      </c>
      <c r="I18" s="7" t="s">
        <v>401</v>
      </c>
      <c r="J18" s="7" t="s">
        <v>401</v>
      </c>
      <c r="K18" s="7" t="s">
        <v>401</v>
      </c>
      <c r="L18" s="7">
        <v>10</v>
      </c>
      <c r="M18" s="231">
        <v>15</v>
      </c>
      <c r="N18" s="239" t="s">
        <v>409</v>
      </c>
      <c r="O18" s="25"/>
      <c r="P18" s="25"/>
      <c r="Q18" s="25"/>
      <c r="R18" s="25"/>
      <c r="S18" s="25"/>
      <c r="T18" s="25"/>
    </row>
    <row r="19" spans="1:20" x14ac:dyDescent="0.25">
      <c r="A19" s="25"/>
      <c r="B19" s="235" t="s">
        <v>320</v>
      </c>
      <c r="C19" s="230" t="s">
        <v>123</v>
      </c>
      <c r="D19" s="7" t="s">
        <v>406</v>
      </c>
      <c r="E19" s="231" t="s">
        <v>320</v>
      </c>
      <c r="F19" s="242" t="s">
        <v>396</v>
      </c>
      <c r="G19" s="230">
        <v>5</v>
      </c>
      <c r="H19" s="7">
        <v>10</v>
      </c>
      <c r="I19" s="7" t="s">
        <v>401</v>
      </c>
      <c r="J19" s="7" t="s">
        <v>401</v>
      </c>
      <c r="K19" s="7" t="s">
        <v>401</v>
      </c>
      <c r="L19" s="7">
        <v>10</v>
      </c>
      <c r="M19" s="231">
        <v>15</v>
      </c>
      <c r="N19" s="239" t="s">
        <v>409</v>
      </c>
      <c r="O19" s="25"/>
      <c r="P19" s="25"/>
      <c r="Q19" s="25"/>
      <c r="R19" s="25"/>
      <c r="S19" s="25"/>
      <c r="T19" s="25"/>
    </row>
    <row r="20" spans="1:20" x14ac:dyDescent="0.25">
      <c r="A20" s="25"/>
      <c r="B20" s="235" t="s">
        <v>321</v>
      </c>
      <c r="C20" s="230" t="s">
        <v>123</v>
      </c>
      <c r="D20" s="7" t="s">
        <v>406</v>
      </c>
      <c r="E20" s="231" t="s">
        <v>321</v>
      </c>
      <c r="F20" s="242" t="s">
        <v>396</v>
      </c>
      <c r="G20" s="230">
        <v>10</v>
      </c>
      <c r="H20" s="7">
        <v>15</v>
      </c>
      <c r="I20" s="7" t="s">
        <v>401</v>
      </c>
      <c r="J20" s="7" t="s">
        <v>401</v>
      </c>
      <c r="K20" s="7" t="s">
        <v>401</v>
      </c>
      <c r="L20" s="7">
        <v>10</v>
      </c>
      <c r="M20" s="231">
        <v>15</v>
      </c>
      <c r="N20" s="239" t="s">
        <v>409</v>
      </c>
      <c r="O20" s="25"/>
      <c r="P20" s="25"/>
      <c r="Q20" s="25"/>
      <c r="R20" s="25"/>
      <c r="S20" s="25"/>
      <c r="T20" s="25"/>
    </row>
    <row r="21" spans="1:20" x14ac:dyDescent="0.25">
      <c r="A21" s="25"/>
      <c r="B21" s="235" t="s">
        <v>322</v>
      </c>
      <c r="C21" s="230" t="s">
        <v>123</v>
      </c>
      <c r="D21" s="7" t="s">
        <v>406</v>
      </c>
      <c r="E21" s="231" t="s">
        <v>322</v>
      </c>
      <c r="F21" s="242" t="s">
        <v>396</v>
      </c>
      <c r="G21" s="230">
        <v>5</v>
      </c>
      <c r="H21" s="7">
        <v>10</v>
      </c>
      <c r="I21" s="7" t="s">
        <v>401</v>
      </c>
      <c r="J21" s="7" t="s">
        <v>401</v>
      </c>
      <c r="K21" s="7" t="s">
        <v>401</v>
      </c>
      <c r="L21" s="7">
        <v>3</v>
      </c>
      <c r="M21" s="231">
        <v>10</v>
      </c>
      <c r="N21" s="239" t="s">
        <v>409</v>
      </c>
      <c r="O21" s="25"/>
      <c r="P21" s="25"/>
      <c r="Q21" s="25"/>
      <c r="R21" s="25"/>
      <c r="S21" s="25"/>
      <c r="T21" s="25"/>
    </row>
    <row r="22" spans="1:20" ht="30" x14ac:dyDescent="0.25">
      <c r="A22" s="25"/>
      <c r="B22" s="235" t="s">
        <v>323</v>
      </c>
      <c r="C22" s="340" t="s">
        <v>398</v>
      </c>
      <c r="D22" s="9" t="s">
        <v>398</v>
      </c>
      <c r="E22" s="231" t="s">
        <v>410</v>
      </c>
      <c r="F22" s="242" t="s">
        <v>401</v>
      </c>
      <c r="G22" s="230" t="s">
        <v>401</v>
      </c>
      <c r="H22" s="7" t="s">
        <v>401</v>
      </c>
      <c r="I22" s="7" t="s">
        <v>401</v>
      </c>
      <c r="J22" s="7">
        <v>1</v>
      </c>
      <c r="K22" s="7" t="s">
        <v>401</v>
      </c>
      <c r="L22" s="7" t="s">
        <v>401</v>
      </c>
      <c r="M22" s="231" t="s">
        <v>401</v>
      </c>
      <c r="N22" s="239" t="s">
        <v>411</v>
      </c>
      <c r="O22" s="25"/>
      <c r="P22" s="25"/>
      <c r="Q22" s="25"/>
      <c r="R22" s="25"/>
      <c r="S22" s="25"/>
      <c r="T22" s="25"/>
    </row>
    <row r="23" spans="1:20" x14ac:dyDescent="0.25">
      <c r="A23" s="25"/>
      <c r="B23" s="235" t="s">
        <v>324</v>
      </c>
      <c r="C23" s="230" t="s">
        <v>123</v>
      </c>
      <c r="D23" s="7" t="s">
        <v>406</v>
      </c>
      <c r="E23" s="231" t="s">
        <v>324</v>
      </c>
      <c r="F23" s="242" t="s">
        <v>396</v>
      </c>
      <c r="G23" s="230">
        <v>5</v>
      </c>
      <c r="H23" s="7">
        <v>10</v>
      </c>
      <c r="I23" s="7" t="s">
        <v>401</v>
      </c>
      <c r="J23" s="7" t="s">
        <v>401</v>
      </c>
      <c r="K23" s="7" t="s">
        <v>401</v>
      </c>
      <c r="L23" s="7">
        <v>3</v>
      </c>
      <c r="M23" s="231">
        <v>10</v>
      </c>
      <c r="N23" s="239" t="s">
        <v>409</v>
      </c>
      <c r="O23" s="25"/>
      <c r="P23" s="25"/>
      <c r="Q23" s="25"/>
      <c r="R23" s="25"/>
      <c r="S23" s="25"/>
      <c r="T23" s="25"/>
    </row>
    <row r="24" spans="1:20" x14ac:dyDescent="0.25">
      <c r="A24" s="25"/>
      <c r="B24" s="235" t="s">
        <v>325</v>
      </c>
      <c r="C24" s="230" t="s">
        <v>123</v>
      </c>
      <c r="D24" s="7" t="s">
        <v>406</v>
      </c>
      <c r="E24" s="231" t="s">
        <v>325</v>
      </c>
      <c r="F24" s="242" t="s">
        <v>396</v>
      </c>
      <c r="G24" s="230">
        <v>5</v>
      </c>
      <c r="H24" s="7">
        <v>10</v>
      </c>
      <c r="I24" s="7" t="s">
        <v>401</v>
      </c>
      <c r="J24" s="7" t="s">
        <v>401</v>
      </c>
      <c r="K24" s="7" t="s">
        <v>401</v>
      </c>
      <c r="L24" s="7">
        <v>3</v>
      </c>
      <c r="M24" s="231">
        <v>10</v>
      </c>
      <c r="N24" s="239" t="s">
        <v>409</v>
      </c>
      <c r="O24" s="25"/>
      <c r="P24" s="25"/>
      <c r="Q24" s="25"/>
      <c r="R24" s="25"/>
      <c r="S24" s="25"/>
      <c r="T24" s="25"/>
    </row>
    <row r="25" spans="1:20" x14ac:dyDescent="0.25">
      <c r="A25" s="25"/>
      <c r="B25" s="235" t="s">
        <v>326</v>
      </c>
      <c r="C25" s="230" t="s">
        <v>123</v>
      </c>
      <c r="D25" s="7" t="s">
        <v>406</v>
      </c>
      <c r="E25" s="231" t="s">
        <v>326</v>
      </c>
      <c r="F25" s="242" t="s">
        <v>396</v>
      </c>
      <c r="G25" s="230">
        <v>10</v>
      </c>
      <c r="H25" s="7">
        <v>15</v>
      </c>
      <c r="I25" s="7" t="s">
        <v>401</v>
      </c>
      <c r="J25" s="7" t="s">
        <v>401</v>
      </c>
      <c r="K25" s="7" t="s">
        <v>401</v>
      </c>
      <c r="L25" s="7">
        <v>7</v>
      </c>
      <c r="M25" s="231">
        <v>15</v>
      </c>
      <c r="N25" s="239" t="s">
        <v>409</v>
      </c>
      <c r="O25" s="25"/>
      <c r="P25" s="25"/>
      <c r="Q25" s="25"/>
      <c r="R25" s="25"/>
      <c r="S25" s="25"/>
      <c r="T25" s="25"/>
    </row>
    <row r="26" spans="1:20" x14ac:dyDescent="0.25">
      <c r="A26" s="25"/>
      <c r="B26" s="235" t="s">
        <v>327</v>
      </c>
      <c r="C26" s="230" t="s">
        <v>123</v>
      </c>
      <c r="D26" s="7" t="s">
        <v>406</v>
      </c>
      <c r="E26" s="231" t="s">
        <v>327</v>
      </c>
      <c r="F26" s="242" t="s">
        <v>396</v>
      </c>
      <c r="G26" s="230">
        <v>5</v>
      </c>
      <c r="H26" s="7">
        <v>10</v>
      </c>
      <c r="I26" s="7" t="s">
        <v>401</v>
      </c>
      <c r="J26" s="7" t="s">
        <v>401</v>
      </c>
      <c r="K26" s="7" t="s">
        <v>401</v>
      </c>
      <c r="L26" s="7">
        <v>3</v>
      </c>
      <c r="M26" s="231">
        <v>10</v>
      </c>
      <c r="N26" s="239" t="s">
        <v>409</v>
      </c>
      <c r="O26" s="25"/>
      <c r="P26" s="25"/>
      <c r="Q26" s="25"/>
      <c r="R26" s="25"/>
      <c r="S26" s="25"/>
      <c r="T26" s="25"/>
    </row>
    <row r="27" spans="1:20" ht="30" x14ac:dyDescent="0.25">
      <c r="A27" s="25"/>
      <c r="B27" s="235" t="s">
        <v>328</v>
      </c>
      <c r="C27" s="340" t="s">
        <v>398</v>
      </c>
      <c r="D27" s="9" t="s">
        <v>398</v>
      </c>
      <c r="E27" s="231" t="s">
        <v>410</v>
      </c>
      <c r="F27" s="242" t="s">
        <v>401</v>
      </c>
      <c r="G27" s="230" t="s">
        <v>401</v>
      </c>
      <c r="H27" s="7" t="s">
        <v>401</v>
      </c>
      <c r="I27" s="7" t="s">
        <v>401</v>
      </c>
      <c r="J27" s="7">
        <v>1</v>
      </c>
      <c r="K27" s="7" t="s">
        <v>401</v>
      </c>
      <c r="L27" s="7" t="s">
        <v>401</v>
      </c>
      <c r="M27" s="231" t="s">
        <v>401</v>
      </c>
      <c r="N27" s="239" t="s">
        <v>411</v>
      </c>
      <c r="O27" s="25"/>
      <c r="P27" s="25"/>
      <c r="Q27" s="25"/>
      <c r="R27" s="25"/>
      <c r="S27" s="25"/>
      <c r="T27" s="25"/>
    </row>
    <row r="28" spans="1:20" ht="30" x14ac:dyDescent="0.25">
      <c r="A28" s="25"/>
      <c r="B28" s="235" t="s">
        <v>329</v>
      </c>
      <c r="C28" s="340" t="s">
        <v>398</v>
      </c>
      <c r="D28" s="9" t="s">
        <v>398</v>
      </c>
      <c r="E28" s="231" t="s">
        <v>410</v>
      </c>
      <c r="F28" s="242" t="s">
        <v>401</v>
      </c>
      <c r="G28" s="230" t="s">
        <v>401</v>
      </c>
      <c r="H28" s="7" t="s">
        <v>401</v>
      </c>
      <c r="I28" s="7" t="s">
        <v>401</v>
      </c>
      <c r="J28" s="7">
        <v>1</v>
      </c>
      <c r="K28" s="7" t="s">
        <v>401</v>
      </c>
      <c r="L28" s="7" t="s">
        <v>401</v>
      </c>
      <c r="M28" s="231" t="s">
        <v>401</v>
      </c>
      <c r="N28" s="239" t="s">
        <v>411</v>
      </c>
      <c r="O28" s="25"/>
      <c r="P28" s="25"/>
      <c r="Q28" s="25"/>
      <c r="R28" s="25"/>
      <c r="S28" s="25"/>
      <c r="T28" s="25"/>
    </row>
    <row r="29" spans="1:20" x14ac:dyDescent="0.25">
      <c r="A29" s="25"/>
      <c r="B29" s="235" t="s">
        <v>330</v>
      </c>
      <c r="C29" s="230" t="s">
        <v>123</v>
      </c>
      <c r="D29" s="7" t="s">
        <v>406</v>
      </c>
      <c r="E29" s="231" t="s">
        <v>330</v>
      </c>
      <c r="F29" s="242" t="s">
        <v>396</v>
      </c>
      <c r="G29" s="230">
        <v>10</v>
      </c>
      <c r="H29" s="7">
        <v>15</v>
      </c>
      <c r="I29" s="7" t="s">
        <v>401</v>
      </c>
      <c r="J29" s="7" t="s">
        <v>401</v>
      </c>
      <c r="K29" s="7" t="s">
        <v>401</v>
      </c>
      <c r="L29" s="7">
        <v>7</v>
      </c>
      <c r="M29" s="231">
        <v>15</v>
      </c>
      <c r="N29" s="239" t="s">
        <v>409</v>
      </c>
      <c r="O29" s="25"/>
      <c r="P29" s="25"/>
      <c r="Q29" s="25"/>
      <c r="R29" s="25"/>
      <c r="S29" s="25"/>
      <c r="T29" s="25"/>
    </row>
    <row r="30" spans="1:20" x14ac:dyDescent="0.25">
      <c r="A30" s="25"/>
      <c r="B30" s="235" t="s">
        <v>331</v>
      </c>
      <c r="C30" s="230" t="s">
        <v>123</v>
      </c>
      <c r="D30" s="7" t="s">
        <v>406</v>
      </c>
      <c r="E30" s="231" t="s">
        <v>412</v>
      </c>
      <c r="F30" s="242" t="s">
        <v>396</v>
      </c>
      <c r="G30" s="230">
        <v>3</v>
      </c>
      <c r="H30" s="7">
        <v>5</v>
      </c>
      <c r="I30" s="7" t="s">
        <v>401</v>
      </c>
      <c r="J30" s="7" t="s">
        <v>401</v>
      </c>
      <c r="K30" s="7" t="s">
        <v>401</v>
      </c>
      <c r="L30" s="7">
        <v>4</v>
      </c>
      <c r="M30" s="231">
        <v>5</v>
      </c>
      <c r="N30" s="239" t="s">
        <v>413</v>
      </c>
      <c r="O30" s="25"/>
      <c r="P30" s="25"/>
      <c r="Q30" s="25"/>
      <c r="R30" s="25"/>
      <c r="S30" s="25"/>
      <c r="T30" s="25"/>
    </row>
    <row r="31" spans="1:20" x14ac:dyDescent="0.25">
      <c r="A31" s="25"/>
      <c r="B31" s="235" t="s">
        <v>333</v>
      </c>
      <c r="C31" s="230" t="s">
        <v>123</v>
      </c>
      <c r="D31" s="7" t="s">
        <v>406</v>
      </c>
      <c r="E31" s="231" t="s">
        <v>333</v>
      </c>
      <c r="F31" s="242" t="s">
        <v>396</v>
      </c>
      <c r="G31" s="230">
        <v>3</v>
      </c>
      <c r="H31" s="7">
        <v>5</v>
      </c>
      <c r="I31" s="7" t="s">
        <v>401</v>
      </c>
      <c r="J31" s="7" t="s">
        <v>401</v>
      </c>
      <c r="K31" s="7" t="s">
        <v>401</v>
      </c>
      <c r="L31" s="7">
        <v>4</v>
      </c>
      <c r="M31" s="231">
        <v>5</v>
      </c>
      <c r="N31" s="239" t="s">
        <v>409</v>
      </c>
      <c r="O31" s="25"/>
      <c r="P31" s="25"/>
      <c r="Q31" s="25"/>
      <c r="R31" s="25"/>
      <c r="S31" s="25"/>
      <c r="T31" s="25"/>
    </row>
    <row r="32" spans="1:20" x14ac:dyDescent="0.25">
      <c r="A32" s="25"/>
      <c r="B32" s="235" t="s">
        <v>334</v>
      </c>
      <c r="C32" s="230" t="s">
        <v>123</v>
      </c>
      <c r="D32" s="7" t="s">
        <v>406</v>
      </c>
      <c r="E32" s="231" t="s">
        <v>334</v>
      </c>
      <c r="F32" s="242" t="s">
        <v>396</v>
      </c>
      <c r="G32" s="230">
        <v>5</v>
      </c>
      <c r="H32" s="7">
        <v>10</v>
      </c>
      <c r="I32" s="7" t="s">
        <v>401</v>
      </c>
      <c r="J32" s="7" t="s">
        <v>401</v>
      </c>
      <c r="K32" s="7" t="s">
        <v>401</v>
      </c>
      <c r="L32" s="7">
        <v>20</v>
      </c>
      <c r="M32" s="231">
        <v>10</v>
      </c>
      <c r="N32" s="239" t="s">
        <v>409</v>
      </c>
      <c r="O32" s="25"/>
      <c r="P32" s="25"/>
      <c r="Q32" s="25"/>
      <c r="R32" s="25"/>
      <c r="S32" s="25"/>
      <c r="T32" s="25"/>
    </row>
    <row r="33" spans="1:20" x14ac:dyDescent="0.25">
      <c r="A33" s="25"/>
      <c r="B33" s="235" t="s">
        <v>335</v>
      </c>
      <c r="C33" s="230" t="s">
        <v>123</v>
      </c>
      <c r="D33" s="7" t="s">
        <v>406</v>
      </c>
      <c r="E33" s="231" t="s">
        <v>335</v>
      </c>
      <c r="F33" s="242" t="s">
        <v>396</v>
      </c>
      <c r="G33" s="230">
        <v>3</v>
      </c>
      <c r="H33" s="7">
        <v>5</v>
      </c>
      <c r="I33" s="7" t="s">
        <v>401</v>
      </c>
      <c r="J33" s="7" t="s">
        <v>401</v>
      </c>
      <c r="K33" s="7" t="s">
        <v>401</v>
      </c>
      <c r="L33" s="7">
        <v>2</v>
      </c>
      <c r="M33" s="231" t="s">
        <v>401</v>
      </c>
      <c r="N33" s="239" t="s">
        <v>409</v>
      </c>
      <c r="O33" s="25"/>
      <c r="P33" s="25"/>
      <c r="Q33" s="25"/>
      <c r="R33" s="25"/>
      <c r="S33" s="25"/>
      <c r="T33" s="25"/>
    </row>
    <row r="34" spans="1:20" x14ac:dyDescent="0.25">
      <c r="A34" s="25"/>
      <c r="B34" s="235" t="s">
        <v>336</v>
      </c>
      <c r="C34" s="230" t="s">
        <v>123</v>
      </c>
      <c r="D34" s="7" t="s">
        <v>406</v>
      </c>
      <c r="E34" s="231" t="s">
        <v>336</v>
      </c>
      <c r="F34" s="242" t="s">
        <v>396</v>
      </c>
      <c r="G34" s="230">
        <v>10</v>
      </c>
      <c r="H34" s="7">
        <v>20</v>
      </c>
      <c r="I34" s="7" t="s">
        <v>401</v>
      </c>
      <c r="J34" s="7" t="s">
        <v>401</v>
      </c>
      <c r="K34" s="7" t="s">
        <v>401</v>
      </c>
      <c r="L34" s="7">
        <v>10</v>
      </c>
      <c r="M34" s="231">
        <v>20</v>
      </c>
      <c r="N34" s="239" t="s">
        <v>409</v>
      </c>
      <c r="O34" s="25"/>
      <c r="P34" s="25"/>
      <c r="Q34" s="25"/>
      <c r="R34" s="25"/>
      <c r="S34" s="25"/>
      <c r="T34" s="25"/>
    </row>
    <row r="35" spans="1:20" x14ac:dyDescent="0.25">
      <c r="A35" s="25"/>
      <c r="B35" s="235" t="s">
        <v>337</v>
      </c>
      <c r="C35" s="230" t="s">
        <v>123</v>
      </c>
      <c r="D35" s="7" t="s">
        <v>406</v>
      </c>
      <c r="E35" s="235" t="s">
        <v>337</v>
      </c>
      <c r="F35" s="242" t="s">
        <v>396</v>
      </c>
      <c r="G35" s="230">
        <v>3</v>
      </c>
      <c r="H35" s="7">
        <v>5</v>
      </c>
      <c r="I35" s="7" t="s">
        <v>401</v>
      </c>
      <c r="J35" s="7" t="s">
        <v>401</v>
      </c>
      <c r="K35" s="7" t="s">
        <v>401</v>
      </c>
      <c r="L35" s="7">
        <v>2</v>
      </c>
      <c r="M35" s="231" t="s">
        <v>401</v>
      </c>
      <c r="N35" s="239" t="s">
        <v>409</v>
      </c>
      <c r="O35" s="25"/>
      <c r="P35" s="25"/>
      <c r="Q35" s="25"/>
      <c r="R35" s="25"/>
      <c r="S35" s="25"/>
      <c r="T35" s="25"/>
    </row>
    <row r="36" spans="1:20" x14ac:dyDescent="0.25">
      <c r="A36" s="25"/>
      <c r="B36" s="235" t="s">
        <v>338</v>
      </c>
      <c r="C36" s="230" t="s">
        <v>123</v>
      </c>
      <c r="D36" s="7" t="s">
        <v>406</v>
      </c>
      <c r="E36" s="231" t="s">
        <v>338</v>
      </c>
      <c r="F36" s="242" t="s">
        <v>396</v>
      </c>
      <c r="G36" s="230">
        <v>1</v>
      </c>
      <c r="H36" s="7">
        <v>1</v>
      </c>
      <c r="I36" s="7" t="s">
        <v>401</v>
      </c>
      <c r="J36" s="7" t="s">
        <v>401</v>
      </c>
      <c r="K36" s="7" t="s">
        <v>401</v>
      </c>
      <c r="L36" s="7">
        <v>1</v>
      </c>
      <c r="M36" s="231">
        <v>1</v>
      </c>
      <c r="N36" s="239" t="s">
        <v>409</v>
      </c>
      <c r="O36" s="25"/>
      <c r="P36" s="25"/>
      <c r="Q36" s="25"/>
      <c r="R36" s="25"/>
      <c r="S36" s="25"/>
      <c r="T36" s="25"/>
    </row>
    <row r="37" spans="1:20" x14ac:dyDescent="0.25">
      <c r="A37" s="25"/>
      <c r="B37" s="235" t="s">
        <v>339</v>
      </c>
      <c r="C37" s="230" t="s">
        <v>399</v>
      </c>
      <c r="D37" s="7" t="s">
        <v>399</v>
      </c>
      <c r="E37" s="237" t="s">
        <v>400</v>
      </c>
      <c r="F37" s="242" t="s">
        <v>401</v>
      </c>
      <c r="G37" s="230" t="s">
        <v>401</v>
      </c>
      <c r="H37" s="7" t="s">
        <v>401</v>
      </c>
      <c r="I37" s="7" t="s">
        <v>401</v>
      </c>
      <c r="J37" s="7" t="s">
        <v>401</v>
      </c>
      <c r="K37" s="7">
        <v>0</v>
      </c>
      <c r="L37" s="7" t="s">
        <v>401</v>
      </c>
      <c r="M37" s="231" t="s">
        <v>401</v>
      </c>
      <c r="N37" s="239" t="s">
        <v>400</v>
      </c>
      <c r="O37" s="25"/>
      <c r="P37" s="25"/>
      <c r="Q37" s="25"/>
      <c r="R37" s="25"/>
      <c r="S37" s="25"/>
      <c r="T37" s="25"/>
    </row>
    <row r="38" spans="1:20" x14ac:dyDescent="0.25">
      <c r="A38" s="25"/>
      <c r="B38" s="235" t="s">
        <v>342</v>
      </c>
      <c r="C38" s="230" t="s">
        <v>123</v>
      </c>
      <c r="D38" s="7" t="s">
        <v>406</v>
      </c>
      <c r="E38" s="231" t="s">
        <v>342</v>
      </c>
      <c r="F38" s="242" t="s">
        <v>396</v>
      </c>
      <c r="G38" s="230">
        <v>1</v>
      </c>
      <c r="H38" s="7">
        <v>3</v>
      </c>
      <c r="I38" s="7" t="s">
        <v>401</v>
      </c>
      <c r="J38" s="7" t="s">
        <v>401</v>
      </c>
      <c r="K38" s="7" t="s">
        <v>401</v>
      </c>
      <c r="L38" s="7">
        <v>2</v>
      </c>
      <c r="M38" s="231">
        <v>3</v>
      </c>
      <c r="N38" s="239" t="s">
        <v>409</v>
      </c>
      <c r="O38" s="25"/>
      <c r="P38" s="25"/>
      <c r="Q38" s="25"/>
      <c r="R38" s="25"/>
      <c r="S38" s="25"/>
      <c r="T38" s="25"/>
    </row>
    <row r="39" spans="1:20" x14ac:dyDescent="0.25">
      <c r="A39" s="25"/>
      <c r="B39" s="235" t="s">
        <v>343</v>
      </c>
      <c r="C39" s="230" t="s">
        <v>123</v>
      </c>
      <c r="D39" s="7" t="s">
        <v>406</v>
      </c>
      <c r="E39" s="231" t="s">
        <v>343</v>
      </c>
      <c r="F39" s="242" t="s">
        <v>396</v>
      </c>
      <c r="G39" s="230">
        <v>5</v>
      </c>
      <c r="H39" s="7">
        <v>10</v>
      </c>
      <c r="I39" s="7" t="s">
        <v>401</v>
      </c>
      <c r="J39" s="7" t="s">
        <v>401</v>
      </c>
      <c r="K39" s="7" t="s">
        <v>401</v>
      </c>
      <c r="L39" s="7">
        <v>5</v>
      </c>
      <c r="M39" s="231">
        <v>10</v>
      </c>
      <c r="N39" s="239" t="s">
        <v>409</v>
      </c>
      <c r="O39" s="25"/>
      <c r="P39" s="25"/>
      <c r="Q39" s="25"/>
      <c r="R39" s="25"/>
      <c r="S39" s="25"/>
      <c r="T39" s="25"/>
    </row>
    <row r="40" spans="1:20" x14ac:dyDescent="0.25">
      <c r="A40" s="25"/>
      <c r="B40" s="235" t="s">
        <v>344</v>
      </c>
      <c r="C40" s="230" t="s">
        <v>399</v>
      </c>
      <c r="D40" s="7" t="s">
        <v>399</v>
      </c>
      <c r="E40" s="237" t="s">
        <v>400</v>
      </c>
      <c r="F40" s="242" t="s">
        <v>401</v>
      </c>
      <c r="G40" s="230" t="s">
        <v>401</v>
      </c>
      <c r="H40" s="7" t="s">
        <v>401</v>
      </c>
      <c r="I40" s="7" t="s">
        <v>401</v>
      </c>
      <c r="J40" s="7" t="s">
        <v>401</v>
      </c>
      <c r="K40" s="7">
        <v>0</v>
      </c>
      <c r="L40" s="7" t="s">
        <v>401</v>
      </c>
      <c r="M40" s="231" t="s">
        <v>401</v>
      </c>
      <c r="N40" s="239" t="s">
        <v>400</v>
      </c>
      <c r="O40" s="25"/>
      <c r="P40" s="25"/>
      <c r="Q40" s="25"/>
      <c r="R40" s="25"/>
      <c r="S40" s="25"/>
      <c r="T40" s="25"/>
    </row>
    <row r="41" spans="1:20" x14ac:dyDescent="0.25">
      <c r="A41" s="25"/>
      <c r="B41" s="235" t="s">
        <v>345</v>
      </c>
      <c r="C41" s="230" t="s">
        <v>123</v>
      </c>
      <c r="D41" s="7" t="s">
        <v>406</v>
      </c>
      <c r="E41" s="231" t="s">
        <v>345</v>
      </c>
      <c r="F41" s="242" t="s">
        <v>396</v>
      </c>
      <c r="G41" s="230">
        <v>15</v>
      </c>
      <c r="H41" s="7">
        <v>20</v>
      </c>
      <c r="I41" s="7" t="s">
        <v>401</v>
      </c>
      <c r="J41" s="7" t="s">
        <v>401</v>
      </c>
      <c r="K41" s="7" t="s">
        <v>401</v>
      </c>
      <c r="L41" s="7">
        <v>15</v>
      </c>
      <c r="M41" s="231">
        <v>20</v>
      </c>
      <c r="N41" s="239" t="s">
        <v>409</v>
      </c>
      <c r="O41" s="25"/>
      <c r="P41" s="25"/>
      <c r="Q41" s="25"/>
      <c r="R41" s="25"/>
      <c r="S41" s="25"/>
      <c r="T41" s="25"/>
    </row>
    <row r="42" spans="1:20" x14ac:dyDescent="0.25">
      <c r="A42" s="25"/>
      <c r="B42" s="235" t="s">
        <v>346</v>
      </c>
      <c r="C42" s="230" t="s">
        <v>399</v>
      </c>
      <c r="D42" s="7" t="s">
        <v>399</v>
      </c>
      <c r="E42" s="237" t="s">
        <v>400</v>
      </c>
      <c r="F42" s="242" t="s">
        <v>401</v>
      </c>
      <c r="G42" s="230" t="s">
        <v>401</v>
      </c>
      <c r="H42" s="7" t="s">
        <v>401</v>
      </c>
      <c r="I42" s="7" t="s">
        <v>401</v>
      </c>
      <c r="J42" s="7" t="s">
        <v>401</v>
      </c>
      <c r="K42" s="7">
        <v>0</v>
      </c>
      <c r="L42" s="7" t="s">
        <v>401</v>
      </c>
      <c r="M42" s="231" t="s">
        <v>401</v>
      </c>
      <c r="N42" s="239" t="s">
        <v>400</v>
      </c>
      <c r="O42" s="25"/>
      <c r="P42" s="25"/>
      <c r="Q42" s="25"/>
      <c r="R42" s="25"/>
      <c r="S42" s="25"/>
      <c r="T42" s="25"/>
    </row>
    <row r="43" spans="1:20" ht="30" x14ac:dyDescent="0.25">
      <c r="A43" s="25"/>
      <c r="B43" s="235" t="s">
        <v>351</v>
      </c>
      <c r="C43" s="340" t="s">
        <v>398</v>
      </c>
      <c r="D43" s="9" t="s">
        <v>398</v>
      </c>
      <c r="E43" s="231" t="s">
        <v>343</v>
      </c>
      <c r="F43" s="242" t="s">
        <v>401</v>
      </c>
      <c r="G43" s="230" t="s">
        <v>401</v>
      </c>
      <c r="H43" s="7" t="s">
        <v>401</v>
      </c>
      <c r="I43" s="7" t="s">
        <v>401</v>
      </c>
      <c r="J43" s="7">
        <v>1</v>
      </c>
      <c r="K43" s="7" t="s">
        <v>401</v>
      </c>
      <c r="L43" s="7" t="s">
        <v>401</v>
      </c>
      <c r="M43" s="7" t="s">
        <v>401</v>
      </c>
      <c r="N43" s="239" t="s">
        <v>414</v>
      </c>
      <c r="O43" s="25"/>
      <c r="P43" s="25"/>
      <c r="Q43" s="25"/>
      <c r="R43" s="25"/>
      <c r="S43" s="25"/>
      <c r="T43" s="25"/>
    </row>
    <row r="44" spans="1:20" x14ac:dyDescent="0.25">
      <c r="A44" s="25"/>
      <c r="B44" s="235" t="s">
        <v>348</v>
      </c>
      <c r="C44" s="230" t="s">
        <v>123</v>
      </c>
      <c r="D44" s="7" t="s">
        <v>406</v>
      </c>
      <c r="E44" s="231" t="s">
        <v>348</v>
      </c>
      <c r="F44" s="242" t="s">
        <v>396</v>
      </c>
      <c r="G44" s="230">
        <v>3</v>
      </c>
      <c r="H44" s="7">
        <v>5</v>
      </c>
      <c r="I44" s="7" t="s">
        <v>401</v>
      </c>
      <c r="J44" s="7" t="s">
        <v>401</v>
      </c>
      <c r="K44" s="7" t="s">
        <v>401</v>
      </c>
      <c r="L44" s="7">
        <v>2</v>
      </c>
      <c r="M44" s="231">
        <v>5</v>
      </c>
      <c r="N44" s="239" t="s">
        <v>409</v>
      </c>
      <c r="O44" s="25"/>
      <c r="P44" s="25"/>
      <c r="Q44" s="25"/>
      <c r="R44" s="25"/>
      <c r="S44" s="25"/>
      <c r="T44" s="25"/>
    </row>
    <row r="45" spans="1:20" x14ac:dyDescent="0.25">
      <c r="A45" s="25"/>
      <c r="B45" s="235" t="s">
        <v>349</v>
      </c>
      <c r="C45" s="230" t="s">
        <v>123</v>
      </c>
      <c r="D45" s="7" t="s">
        <v>406</v>
      </c>
      <c r="E45" s="231" t="s">
        <v>349</v>
      </c>
      <c r="F45" s="242" t="s">
        <v>396</v>
      </c>
      <c r="G45" s="230">
        <v>3</v>
      </c>
      <c r="H45" s="7">
        <v>5</v>
      </c>
      <c r="I45" s="7" t="s">
        <v>401</v>
      </c>
      <c r="J45" s="7" t="s">
        <v>401</v>
      </c>
      <c r="K45" s="7" t="s">
        <v>401</v>
      </c>
      <c r="L45" s="7">
        <v>2</v>
      </c>
      <c r="M45" s="231">
        <v>5</v>
      </c>
      <c r="N45" s="239" t="s">
        <v>409</v>
      </c>
      <c r="O45" s="25"/>
      <c r="P45" s="25"/>
      <c r="Q45" s="25"/>
      <c r="R45" s="25"/>
      <c r="S45" s="25"/>
      <c r="T45" s="25"/>
    </row>
    <row r="46" spans="1:20" ht="30" x14ac:dyDescent="0.25">
      <c r="A46" s="25"/>
      <c r="B46" s="235" t="s">
        <v>350</v>
      </c>
      <c r="C46" s="340" t="s">
        <v>398</v>
      </c>
      <c r="D46" s="9" t="s">
        <v>398</v>
      </c>
      <c r="E46" s="237" t="s">
        <v>400</v>
      </c>
      <c r="F46" s="242" t="s">
        <v>401</v>
      </c>
      <c r="G46" s="230" t="s">
        <v>401</v>
      </c>
      <c r="H46" s="7" t="s">
        <v>401</v>
      </c>
      <c r="I46" s="7" t="s">
        <v>401</v>
      </c>
      <c r="J46" s="7">
        <v>1</v>
      </c>
      <c r="K46" s="7" t="s">
        <v>401</v>
      </c>
      <c r="L46" s="7" t="s">
        <v>401</v>
      </c>
      <c r="M46" s="231" t="s">
        <v>401</v>
      </c>
      <c r="N46" s="239" t="s">
        <v>400</v>
      </c>
      <c r="O46" s="25"/>
      <c r="P46" s="25"/>
      <c r="Q46" s="25"/>
      <c r="R46" s="25"/>
      <c r="S46" s="25"/>
      <c r="T46" s="25"/>
    </row>
    <row r="47" spans="1:20" x14ac:dyDescent="0.25">
      <c r="A47" s="25"/>
      <c r="B47" s="235" t="s">
        <v>347</v>
      </c>
      <c r="C47" s="230" t="s">
        <v>123</v>
      </c>
      <c r="D47" s="7" t="s">
        <v>406</v>
      </c>
      <c r="E47" s="231" t="s">
        <v>415</v>
      </c>
      <c r="F47" s="242" t="s">
        <v>396</v>
      </c>
      <c r="G47" s="230">
        <v>3</v>
      </c>
      <c r="H47" s="7">
        <v>5</v>
      </c>
      <c r="I47" s="7" t="s">
        <v>401</v>
      </c>
      <c r="J47" s="7" t="s">
        <v>401</v>
      </c>
      <c r="K47" s="7" t="s">
        <v>401</v>
      </c>
      <c r="L47" s="7">
        <v>2</v>
      </c>
      <c r="M47" s="231">
        <v>10</v>
      </c>
      <c r="N47" s="239" t="s">
        <v>416</v>
      </c>
      <c r="O47" s="25"/>
      <c r="P47" s="25"/>
      <c r="Q47" s="25"/>
      <c r="R47" s="25"/>
      <c r="S47" s="25"/>
      <c r="T47" s="25"/>
    </row>
    <row r="48" spans="1:20" ht="30" x14ac:dyDescent="0.25">
      <c r="A48" s="25"/>
      <c r="B48" s="235" t="s">
        <v>352</v>
      </c>
      <c r="C48" s="340" t="s">
        <v>398</v>
      </c>
      <c r="D48" s="9" t="s">
        <v>398</v>
      </c>
      <c r="E48" s="237" t="s">
        <v>400</v>
      </c>
      <c r="F48" s="242" t="s">
        <v>401</v>
      </c>
      <c r="G48" s="230" t="s">
        <v>401</v>
      </c>
      <c r="H48" s="7" t="s">
        <v>401</v>
      </c>
      <c r="I48" s="7" t="s">
        <v>401</v>
      </c>
      <c r="J48" s="7">
        <v>1</v>
      </c>
      <c r="K48" s="7" t="s">
        <v>401</v>
      </c>
      <c r="L48" s="7" t="s">
        <v>401</v>
      </c>
      <c r="M48" s="231" t="s">
        <v>401</v>
      </c>
      <c r="N48" s="239" t="s">
        <v>400</v>
      </c>
      <c r="O48" s="25"/>
      <c r="P48" s="25"/>
      <c r="Q48" s="25"/>
      <c r="R48" s="25"/>
      <c r="S48" s="25"/>
      <c r="T48" s="25"/>
    </row>
    <row r="49" spans="1:20" x14ac:dyDescent="0.25">
      <c r="A49" s="25"/>
      <c r="B49" s="235" t="s">
        <v>353</v>
      </c>
      <c r="C49" s="230" t="s">
        <v>123</v>
      </c>
      <c r="D49" s="7" t="s">
        <v>406</v>
      </c>
      <c r="E49" s="231" t="s">
        <v>353</v>
      </c>
      <c r="F49" s="242" t="s">
        <v>396</v>
      </c>
      <c r="G49" s="230">
        <v>3</v>
      </c>
      <c r="H49" s="7">
        <v>5</v>
      </c>
      <c r="I49" s="7" t="s">
        <v>401</v>
      </c>
      <c r="J49" s="7" t="s">
        <v>401</v>
      </c>
      <c r="K49" s="7" t="s">
        <v>401</v>
      </c>
      <c r="L49" s="7">
        <v>1</v>
      </c>
      <c r="M49" s="231">
        <v>1</v>
      </c>
      <c r="N49" s="239" t="s">
        <v>409</v>
      </c>
      <c r="O49" s="25"/>
      <c r="P49" s="25"/>
      <c r="Q49" s="25"/>
      <c r="R49" s="25"/>
      <c r="S49" s="25"/>
      <c r="T49" s="25"/>
    </row>
    <row r="50" spans="1:20" ht="30" x14ac:dyDescent="0.25">
      <c r="A50" s="25"/>
      <c r="B50" s="235" t="s">
        <v>354</v>
      </c>
      <c r="C50" s="340" t="s">
        <v>398</v>
      </c>
      <c r="D50" s="9" t="s">
        <v>398</v>
      </c>
      <c r="E50" s="231" t="s">
        <v>336</v>
      </c>
      <c r="F50" s="242" t="s">
        <v>401</v>
      </c>
      <c r="G50" s="230" t="s">
        <v>401</v>
      </c>
      <c r="H50" s="7" t="s">
        <v>401</v>
      </c>
      <c r="I50" s="7" t="s">
        <v>401</v>
      </c>
      <c r="J50" s="7">
        <v>1</v>
      </c>
      <c r="K50" s="7" t="s">
        <v>401</v>
      </c>
      <c r="L50" s="7" t="s">
        <v>401</v>
      </c>
      <c r="M50" s="231" t="s">
        <v>401</v>
      </c>
      <c r="N50" s="239" t="s">
        <v>417</v>
      </c>
      <c r="O50" s="25"/>
      <c r="P50" s="25"/>
      <c r="Q50" s="25"/>
      <c r="R50" s="25"/>
      <c r="S50" s="25"/>
      <c r="T50" s="25"/>
    </row>
    <row r="51" spans="1:20" x14ac:dyDescent="0.25">
      <c r="A51" s="25"/>
      <c r="B51" s="235" t="s">
        <v>103</v>
      </c>
      <c r="C51" s="230" t="s">
        <v>123</v>
      </c>
      <c r="D51" s="7" t="s">
        <v>406</v>
      </c>
      <c r="E51" s="235" t="s">
        <v>103</v>
      </c>
      <c r="F51" s="242" t="s">
        <v>396</v>
      </c>
      <c r="G51" s="230">
        <v>27</v>
      </c>
      <c r="H51" s="7" t="s">
        <v>418</v>
      </c>
      <c r="I51" s="7" t="s">
        <v>401</v>
      </c>
      <c r="J51" s="7" t="s">
        <v>401</v>
      </c>
      <c r="K51" s="7" t="s">
        <v>401</v>
      </c>
      <c r="L51" s="7">
        <v>16</v>
      </c>
      <c r="M51" s="231" t="s">
        <v>401</v>
      </c>
      <c r="N51" s="239" t="s">
        <v>400</v>
      </c>
      <c r="O51" s="25"/>
      <c r="P51" s="25"/>
      <c r="Q51" s="25"/>
      <c r="R51" s="25"/>
      <c r="S51" s="25"/>
      <c r="T51" s="25"/>
    </row>
    <row r="52" spans="1:20" x14ac:dyDescent="0.25">
      <c r="A52" s="25"/>
      <c r="B52" s="235" t="s">
        <v>355</v>
      </c>
      <c r="C52" s="230" t="s">
        <v>123</v>
      </c>
      <c r="D52" s="7" t="s">
        <v>406</v>
      </c>
      <c r="E52" s="231" t="s">
        <v>355</v>
      </c>
      <c r="F52" s="242" t="s">
        <v>396</v>
      </c>
      <c r="G52" s="230">
        <v>3</v>
      </c>
      <c r="H52" s="7">
        <v>5</v>
      </c>
      <c r="I52" s="7" t="s">
        <v>401</v>
      </c>
      <c r="J52" s="7" t="s">
        <v>401</v>
      </c>
      <c r="K52" s="7" t="s">
        <v>401</v>
      </c>
      <c r="L52" s="7">
        <v>2</v>
      </c>
      <c r="M52" s="231">
        <v>5</v>
      </c>
      <c r="N52" s="239" t="s">
        <v>409</v>
      </c>
      <c r="O52" s="25"/>
      <c r="P52" s="25"/>
      <c r="Q52" s="25"/>
      <c r="R52" s="25"/>
      <c r="S52" s="25"/>
      <c r="T52" s="25"/>
    </row>
    <row r="53" spans="1:20" x14ac:dyDescent="0.25">
      <c r="A53" s="25"/>
      <c r="B53" s="235" t="s">
        <v>356</v>
      </c>
      <c r="C53" s="230" t="s">
        <v>399</v>
      </c>
      <c r="D53" s="7" t="s">
        <v>399</v>
      </c>
      <c r="E53" s="237" t="s">
        <v>400</v>
      </c>
      <c r="F53" s="242" t="s">
        <v>401</v>
      </c>
      <c r="G53" s="230" t="s">
        <v>401</v>
      </c>
      <c r="H53" s="7" t="s">
        <v>401</v>
      </c>
      <c r="I53" s="7" t="s">
        <v>401</v>
      </c>
      <c r="J53" s="7" t="s">
        <v>401</v>
      </c>
      <c r="K53" s="7">
        <v>0</v>
      </c>
      <c r="L53" s="7" t="s">
        <v>401</v>
      </c>
      <c r="M53" s="231" t="s">
        <v>401</v>
      </c>
      <c r="N53" s="239" t="s">
        <v>400</v>
      </c>
      <c r="O53" s="25"/>
      <c r="P53" s="25"/>
      <c r="Q53" s="25"/>
      <c r="R53" s="25"/>
      <c r="S53" s="25"/>
      <c r="T53" s="25"/>
    </row>
    <row r="54" spans="1:20" x14ac:dyDescent="0.25">
      <c r="A54" s="25"/>
      <c r="B54" s="235" t="s">
        <v>357</v>
      </c>
      <c r="C54" s="230" t="s">
        <v>123</v>
      </c>
      <c r="D54" s="7" t="s">
        <v>406</v>
      </c>
      <c r="E54" s="231" t="s">
        <v>357</v>
      </c>
      <c r="F54" s="242" t="s">
        <v>396</v>
      </c>
      <c r="G54" s="230">
        <v>3</v>
      </c>
      <c r="H54" s="7">
        <v>5</v>
      </c>
      <c r="I54" s="7" t="s">
        <v>401</v>
      </c>
      <c r="J54" s="7" t="s">
        <v>401</v>
      </c>
      <c r="K54" s="7" t="s">
        <v>401</v>
      </c>
      <c r="L54" s="7">
        <v>1</v>
      </c>
      <c r="M54" s="231">
        <v>1</v>
      </c>
      <c r="N54" s="239" t="s">
        <v>409</v>
      </c>
      <c r="O54" s="25"/>
      <c r="P54" s="25"/>
      <c r="Q54" s="25"/>
      <c r="R54" s="25"/>
      <c r="S54" s="25"/>
      <c r="T54" s="25"/>
    </row>
    <row r="55" spans="1:20" ht="30" x14ac:dyDescent="0.25">
      <c r="A55" s="25"/>
      <c r="B55" s="235" t="s">
        <v>358</v>
      </c>
      <c r="C55" s="340" t="s">
        <v>398</v>
      </c>
      <c r="D55" s="9" t="s">
        <v>398</v>
      </c>
      <c r="E55" s="237" t="s">
        <v>400</v>
      </c>
      <c r="F55" s="242" t="s">
        <v>401</v>
      </c>
      <c r="G55" s="230" t="s">
        <v>401</v>
      </c>
      <c r="H55" s="7" t="s">
        <v>401</v>
      </c>
      <c r="I55" s="7" t="s">
        <v>401</v>
      </c>
      <c r="J55" s="7">
        <v>1</v>
      </c>
      <c r="K55" s="7" t="s">
        <v>401</v>
      </c>
      <c r="L55" s="7">
        <v>2</v>
      </c>
      <c r="M55" s="231">
        <v>5</v>
      </c>
      <c r="N55" s="239" t="s">
        <v>409</v>
      </c>
      <c r="O55" s="25"/>
      <c r="P55" s="25"/>
      <c r="Q55" s="25"/>
      <c r="R55" s="25"/>
      <c r="S55" s="25"/>
      <c r="T55" s="25"/>
    </row>
    <row r="56" spans="1:20" x14ac:dyDescent="0.25">
      <c r="A56" s="25"/>
      <c r="B56" s="235" t="s">
        <v>359</v>
      </c>
      <c r="C56" s="230" t="s">
        <v>123</v>
      </c>
      <c r="D56" s="7" t="s">
        <v>406</v>
      </c>
      <c r="E56" s="242" t="s">
        <v>359</v>
      </c>
      <c r="F56" s="242" t="s">
        <v>396</v>
      </c>
      <c r="G56" s="230">
        <v>3</v>
      </c>
      <c r="H56" s="7">
        <v>5</v>
      </c>
      <c r="I56" s="7" t="s">
        <v>401</v>
      </c>
      <c r="J56" s="7" t="s">
        <v>401</v>
      </c>
      <c r="K56" s="7" t="s">
        <v>401</v>
      </c>
      <c r="L56" s="7">
        <v>1</v>
      </c>
      <c r="M56" s="231">
        <v>1</v>
      </c>
      <c r="N56" s="239" t="s">
        <v>409</v>
      </c>
      <c r="O56" s="25"/>
      <c r="P56" s="25"/>
      <c r="Q56" s="25"/>
      <c r="R56" s="25"/>
      <c r="S56" s="25"/>
      <c r="T56" s="25"/>
    </row>
    <row r="57" spans="1:20" x14ac:dyDescent="0.25">
      <c r="A57" s="25"/>
      <c r="B57" s="235" t="s">
        <v>360</v>
      </c>
      <c r="C57" s="230" t="s">
        <v>123</v>
      </c>
      <c r="D57" s="7" t="s">
        <v>406</v>
      </c>
      <c r="E57" s="231" t="s">
        <v>419</v>
      </c>
      <c r="F57" s="242" t="s">
        <v>396</v>
      </c>
      <c r="G57" s="230">
        <v>30</v>
      </c>
      <c r="H57" s="7" t="s">
        <v>418</v>
      </c>
      <c r="I57" s="7" t="s">
        <v>401</v>
      </c>
      <c r="J57" s="7" t="s">
        <v>401</v>
      </c>
      <c r="K57" s="7" t="s">
        <v>401</v>
      </c>
      <c r="L57" s="7" t="s">
        <v>418</v>
      </c>
      <c r="M57" s="231" t="s">
        <v>401</v>
      </c>
      <c r="N57" s="239" t="s">
        <v>420</v>
      </c>
      <c r="O57" s="25"/>
      <c r="P57" s="25"/>
      <c r="Q57" s="25"/>
      <c r="R57" s="25"/>
      <c r="S57" s="25"/>
      <c r="T57" s="25"/>
    </row>
    <row r="58" spans="1:20" x14ac:dyDescent="0.25">
      <c r="A58" s="25"/>
      <c r="B58" s="235" t="s">
        <v>361</v>
      </c>
      <c r="C58" s="230" t="s">
        <v>123</v>
      </c>
      <c r="D58" s="7" t="s">
        <v>406</v>
      </c>
      <c r="E58" s="231" t="s">
        <v>361</v>
      </c>
      <c r="F58" s="242" t="s">
        <v>396</v>
      </c>
      <c r="G58" s="230" t="s">
        <v>418</v>
      </c>
      <c r="H58" s="7" t="s">
        <v>418</v>
      </c>
      <c r="I58" s="7" t="s">
        <v>401</v>
      </c>
      <c r="J58" s="7" t="s">
        <v>401</v>
      </c>
      <c r="K58" s="7" t="s">
        <v>401</v>
      </c>
      <c r="L58" s="7">
        <v>15</v>
      </c>
      <c r="M58" s="231" t="s">
        <v>418</v>
      </c>
      <c r="N58" s="239" t="s">
        <v>409</v>
      </c>
      <c r="O58" s="25"/>
      <c r="P58" s="25"/>
      <c r="Q58" s="25"/>
      <c r="R58" s="25"/>
      <c r="S58" s="25"/>
      <c r="T58" s="25"/>
    </row>
    <row r="59" spans="1:20" x14ac:dyDescent="0.25">
      <c r="A59" s="25"/>
      <c r="B59" s="235" t="s">
        <v>362</v>
      </c>
      <c r="C59" s="230" t="s">
        <v>123</v>
      </c>
      <c r="D59" s="7" t="s">
        <v>406</v>
      </c>
      <c r="E59" s="231" t="s">
        <v>362</v>
      </c>
      <c r="F59" s="242" t="s">
        <v>396</v>
      </c>
      <c r="G59" s="230">
        <v>15</v>
      </c>
      <c r="H59" s="7" t="s">
        <v>418</v>
      </c>
      <c r="I59" s="7" t="s">
        <v>401</v>
      </c>
      <c r="J59" s="7" t="s">
        <v>401</v>
      </c>
      <c r="K59" s="7" t="s">
        <v>401</v>
      </c>
      <c r="L59" s="7">
        <v>10</v>
      </c>
      <c r="M59" s="231">
        <v>25</v>
      </c>
      <c r="N59" s="239" t="s">
        <v>409</v>
      </c>
      <c r="O59" s="25"/>
      <c r="P59" s="25"/>
      <c r="Q59" s="25"/>
      <c r="R59" s="25"/>
      <c r="S59" s="25"/>
      <c r="T59" s="25"/>
    </row>
    <row r="60" spans="1:20" x14ac:dyDescent="0.25">
      <c r="A60" s="25"/>
      <c r="B60" s="235" t="s">
        <v>363</v>
      </c>
      <c r="C60" s="230" t="s">
        <v>123</v>
      </c>
      <c r="D60" s="7" t="s">
        <v>406</v>
      </c>
      <c r="E60" s="231" t="s">
        <v>363</v>
      </c>
      <c r="F60" s="242" t="s">
        <v>396</v>
      </c>
      <c r="G60" s="230">
        <v>30</v>
      </c>
      <c r="H60" s="7" t="s">
        <v>418</v>
      </c>
      <c r="I60" s="7" t="s">
        <v>401</v>
      </c>
      <c r="J60" s="7" t="s">
        <v>401</v>
      </c>
      <c r="K60" s="7" t="s">
        <v>401</v>
      </c>
      <c r="L60" s="7">
        <v>10</v>
      </c>
      <c r="M60" s="231">
        <v>25</v>
      </c>
      <c r="N60" s="239" t="s">
        <v>409</v>
      </c>
      <c r="O60" s="25"/>
      <c r="P60" s="25"/>
      <c r="Q60" s="25"/>
      <c r="R60" s="25"/>
      <c r="S60" s="25"/>
      <c r="T60" s="25"/>
    </row>
    <row r="61" spans="1:20" x14ac:dyDescent="0.25">
      <c r="A61" s="25"/>
      <c r="B61" s="235" t="s">
        <v>364</v>
      </c>
      <c r="C61" s="230" t="s">
        <v>123</v>
      </c>
      <c r="D61" s="7" t="s">
        <v>406</v>
      </c>
      <c r="E61" s="231" t="s">
        <v>364</v>
      </c>
      <c r="F61" s="242" t="s">
        <v>396</v>
      </c>
      <c r="G61" s="230">
        <v>1</v>
      </c>
      <c r="H61" s="7">
        <v>3</v>
      </c>
      <c r="I61" s="7" t="s">
        <v>401</v>
      </c>
      <c r="J61" s="7" t="s">
        <v>401</v>
      </c>
      <c r="K61" s="7" t="s">
        <v>401</v>
      </c>
      <c r="L61" s="7">
        <v>2</v>
      </c>
      <c r="M61" s="231" t="s">
        <v>401</v>
      </c>
      <c r="N61" s="239" t="s">
        <v>409</v>
      </c>
      <c r="O61" s="25"/>
      <c r="P61" s="25"/>
      <c r="Q61" s="25"/>
      <c r="R61" s="25"/>
      <c r="S61" s="25"/>
      <c r="T61" s="25"/>
    </row>
    <row r="62" spans="1:20" x14ac:dyDescent="0.25">
      <c r="A62" s="25"/>
      <c r="B62" s="235" t="s">
        <v>365</v>
      </c>
      <c r="C62" s="230" t="s">
        <v>123</v>
      </c>
      <c r="D62" s="7" t="s">
        <v>406</v>
      </c>
      <c r="E62" s="231" t="s">
        <v>365</v>
      </c>
      <c r="F62" s="242" t="s">
        <v>396</v>
      </c>
      <c r="G62" s="230">
        <v>7</v>
      </c>
      <c r="H62" s="7">
        <v>15</v>
      </c>
      <c r="I62" s="7" t="s">
        <v>401</v>
      </c>
      <c r="J62" s="7" t="s">
        <v>401</v>
      </c>
      <c r="K62" s="7" t="s">
        <v>401</v>
      </c>
      <c r="L62" s="7">
        <v>14</v>
      </c>
      <c r="M62" s="231" t="s">
        <v>401</v>
      </c>
      <c r="N62" s="239" t="s">
        <v>409</v>
      </c>
      <c r="O62" s="25"/>
      <c r="P62" s="25"/>
      <c r="Q62" s="25"/>
      <c r="R62" s="25"/>
      <c r="S62" s="25"/>
      <c r="T62" s="25"/>
    </row>
    <row r="63" spans="1:20" x14ac:dyDescent="0.25">
      <c r="A63" s="25"/>
      <c r="B63" s="235" t="s">
        <v>366</v>
      </c>
      <c r="C63" s="230" t="s">
        <v>123</v>
      </c>
      <c r="D63" s="7" t="s">
        <v>406</v>
      </c>
      <c r="E63" s="231" t="s">
        <v>366</v>
      </c>
      <c r="F63" s="242" t="s">
        <v>396</v>
      </c>
      <c r="G63" s="230">
        <v>1</v>
      </c>
      <c r="H63" s="7">
        <v>3</v>
      </c>
      <c r="I63" s="7" t="s">
        <v>401</v>
      </c>
      <c r="J63" s="7" t="s">
        <v>401</v>
      </c>
      <c r="K63" s="7" t="s">
        <v>401</v>
      </c>
      <c r="L63" s="7">
        <v>2</v>
      </c>
      <c r="M63" s="231" t="s">
        <v>401</v>
      </c>
      <c r="N63" s="239" t="s">
        <v>409</v>
      </c>
      <c r="O63" s="25"/>
      <c r="P63" s="25"/>
      <c r="Q63" s="25"/>
      <c r="R63" s="25"/>
      <c r="S63" s="25"/>
      <c r="T63" s="25"/>
    </row>
    <row r="64" spans="1:20" x14ac:dyDescent="0.25">
      <c r="A64" s="25"/>
      <c r="B64" s="235" t="s">
        <v>367</v>
      </c>
      <c r="C64" s="230" t="s">
        <v>123</v>
      </c>
      <c r="D64" s="7" t="s">
        <v>406</v>
      </c>
      <c r="E64" s="231" t="s">
        <v>367</v>
      </c>
      <c r="F64" s="242" t="s">
        <v>396</v>
      </c>
      <c r="G64" s="230">
        <v>3</v>
      </c>
      <c r="H64" s="7">
        <v>6</v>
      </c>
      <c r="I64" s="7" t="s">
        <v>401</v>
      </c>
      <c r="J64" s="7" t="s">
        <v>401</v>
      </c>
      <c r="K64" s="7" t="s">
        <v>401</v>
      </c>
      <c r="L64" s="7">
        <v>4</v>
      </c>
      <c r="M64" s="231" t="s">
        <v>401</v>
      </c>
      <c r="N64" s="239" t="s">
        <v>409</v>
      </c>
      <c r="O64" s="25"/>
      <c r="P64" s="25"/>
      <c r="Q64" s="25"/>
      <c r="R64" s="25"/>
      <c r="S64" s="25"/>
      <c r="T64" s="25"/>
    </row>
    <row r="65" spans="1:20" x14ac:dyDescent="0.25">
      <c r="A65" s="25"/>
      <c r="B65" s="235" t="s">
        <v>368</v>
      </c>
      <c r="C65" s="230" t="s">
        <v>123</v>
      </c>
      <c r="D65" s="7" t="s">
        <v>406</v>
      </c>
      <c r="E65" s="231" t="s">
        <v>368</v>
      </c>
      <c r="F65" s="242" t="s">
        <v>396</v>
      </c>
      <c r="G65" s="230">
        <v>1</v>
      </c>
      <c r="H65" s="7">
        <v>4</v>
      </c>
      <c r="I65" s="7" t="s">
        <v>401</v>
      </c>
      <c r="J65" s="7" t="s">
        <v>401</v>
      </c>
      <c r="K65" s="7" t="s">
        <v>401</v>
      </c>
      <c r="L65" s="7">
        <v>3</v>
      </c>
      <c r="M65" s="231" t="s">
        <v>401</v>
      </c>
      <c r="N65" s="239" t="s">
        <v>409</v>
      </c>
      <c r="O65" s="25"/>
      <c r="P65" s="25"/>
      <c r="Q65" s="25"/>
      <c r="R65" s="25"/>
      <c r="S65" s="25"/>
      <c r="T65" s="25"/>
    </row>
    <row r="66" spans="1:20" x14ac:dyDescent="0.25">
      <c r="A66" s="25"/>
      <c r="B66" s="235" t="s">
        <v>369</v>
      </c>
      <c r="C66" s="230" t="s">
        <v>123</v>
      </c>
      <c r="D66" s="7" t="s">
        <v>406</v>
      </c>
      <c r="E66" s="231" t="s">
        <v>369</v>
      </c>
      <c r="F66" s="242" t="s">
        <v>396</v>
      </c>
      <c r="G66" s="230">
        <v>3</v>
      </c>
      <c r="H66" s="7">
        <v>5</v>
      </c>
      <c r="I66" s="7" t="s">
        <v>401</v>
      </c>
      <c r="J66" s="7" t="s">
        <v>401</v>
      </c>
      <c r="K66" s="7" t="s">
        <v>401</v>
      </c>
      <c r="L66" s="7">
        <v>4</v>
      </c>
      <c r="M66" s="231" t="s">
        <v>401</v>
      </c>
      <c r="N66" s="239" t="s">
        <v>409</v>
      </c>
      <c r="O66" s="25"/>
      <c r="P66" s="25"/>
      <c r="Q66" s="25"/>
      <c r="R66" s="25"/>
      <c r="S66" s="25"/>
      <c r="T66" s="25"/>
    </row>
    <row r="67" spans="1:20" x14ac:dyDescent="0.25">
      <c r="A67" s="25"/>
      <c r="B67" s="235" t="s">
        <v>370</v>
      </c>
      <c r="C67" s="230" t="s">
        <v>123</v>
      </c>
      <c r="D67" s="7" t="s">
        <v>406</v>
      </c>
      <c r="E67" s="231" t="s">
        <v>370</v>
      </c>
      <c r="F67" s="242" t="s">
        <v>396</v>
      </c>
      <c r="G67" s="230">
        <v>3</v>
      </c>
      <c r="H67" s="7">
        <v>5</v>
      </c>
      <c r="I67" s="7" t="s">
        <v>401</v>
      </c>
      <c r="J67" s="7" t="s">
        <v>401</v>
      </c>
      <c r="K67" s="7" t="s">
        <v>401</v>
      </c>
      <c r="L67" s="7">
        <v>2</v>
      </c>
      <c r="M67" s="231" t="s">
        <v>401</v>
      </c>
      <c r="N67" s="239" t="s">
        <v>409</v>
      </c>
      <c r="O67" s="25"/>
      <c r="P67" s="25"/>
      <c r="Q67" s="25"/>
      <c r="R67" s="25"/>
      <c r="S67" s="25"/>
      <c r="T67" s="25"/>
    </row>
    <row r="68" spans="1:20" x14ac:dyDescent="0.25">
      <c r="A68" s="25"/>
      <c r="B68" s="235" t="s">
        <v>371</v>
      </c>
      <c r="C68" s="230" t="s">
        <v>123</v>
      </c>
      <c r="D68" s="7" t="s">
        <v>406</v>
      </c>
      <c r="E68" s="231" t="s">
        <v>371</v>
      </c>
      <c r="F68" s="242" t="s">
        <v>396</v>
      </c>
      <c r="G68" s="230">
        <v>10</v>
      </c>
      <c r="H68" s="7">
        <v>20</v>
      </c>
      <c r="I68" s="7" t="s">
        <v>401</v>
      </c>
      <c r="J68" s="7" t="s">
        <v>401</v>
      </c>
      <c r="K68" s="7" t="s">
        <v>401</v>
      </c>
      <c r="L68" s="7">
        <v>20</v>
      </c>
      <c r="M68" s="231" t="s">
        <v>401</v>
      </c>
      <c r="N68" s="239" t="s">
        <v>409</v>
      </c>
      <c r="O68" s="25"/>
      <c r="P68" s="25"/>
      <c r="Q68" s="25"/>
      <c r="R68" s="25"/>
      <c r="S68" s="25"/>
      <c r="T68" s="25"/>
    </row>
    <row r="69" spans="1:20" x14ac:dyDescent="0.25">
      <c r="A69" s="25"/>
      <c r="B69" s="235" t="s">
        <v>372</v>
      </c>
      <c r="C69" s="230" t="s">
        <v>123</v>
      </c>
      <c r="D69" s="7" t="s">
        <v>406</v>
      </c>
      <c r="E69" s="231" t="s">
        <v>372</v>
      </c>
      <c r="F69" s="242" t="s">
        <v>396</v>
      </c>
      <c r="G69" s="230">
        <v>5</v>
      </c>
      <c r="H69" s="7">
        <v>15</v>
      </c>
      <c r="I69" s="7" t="s">
        <v>401</v>
      </c>
      <c r="J69" s="7" t="s">
        <v>401</v>
      </c>
      <c r="K69" s="7" t="s">
        <v>401</v>
      </c>
      <c r="L69" s="7">
        <v>6</v>
      </c>
      <c r="M69" s="231" t="s">
        <v>401</v>
      </c>
      <c r="N69" s="239" t="s">
        <v>409</v>
      </c>
      <c r="O69" s="25"/>
      <c r="P69" s="25"/>
      <c r="Q69" s="25"/>
      <c r="R69" s="25"/>
      <c r="S69" s="25"/>
      <c r="T69" s="25"/>
    </row>
    <row r="70" spans="1:20" x14ac:dyDescent="0.25">
      <c r="A70" s="25"/>
      <c r="B70" s="235" t="s">
        <v>373</v>
      </c>
      <c r="C70" s="230" t="s">
        <v>123</v>
      </c>
      <c r="D70" s="7" t="s">
        <v>406</v>
      </c>
      <c r="E70" s="231" t="s">
        <v>373</v>
      </c>
      <c r="F70" s="242" t="s">
        <v>396</v>
      </c>
      <c r="G70" s="230">
        <v>1</v>
      </c>
      <c r="H70" s="7">
        <v>4</v>
      </c>
      <c r="I70" s="7" t="s">
        <v>401</v>
      </c>
      <c r="J70" s="7" t="s">
        <v>401</v>
      </c>
      <c r="K70" s="7" t="s">
        <v>401</v>
      </c>
      <c r="L70" s="7">
        <v>3</v>
      </c>
      <c r="M70" s="231" t="s">
        <v>401</v>
      </c>
      <c r="N70" s="239" t="s">
        <v>409</v>
      </c>
      <c r="O70" s="25"/>
      <c r="P70" s="25"/>
      <c r="Q70" s="25"/>
      <c r="R70" s="25"/>
      <c r="S70" s="25"/>
      <c r="T70" s="25"/>
    </row>
    <row r="71" spans="1:20" x14ac:dyDescent="0.25">
      <c r="A71" s="25"/>
      <c r="B71" s="235" t="s">
        <v>374</v>
      </c>
      <c r="C71" s="230" t="s">
        <v>123</v>
      </c>
      <c r="D71" s="7" t="s">
        <v>406</v>
      </c>
      <c r="E71" s="231" t="s">
        <v>421</v>
      </c>
      <c r="F71" s="242" t="s">
        <v>396</v>
      </c>
      <c r="G71" s="230">
        <v>5</v>
      </c>
      <c r="H71" s="7">
        <v>15</v>
      </c>
      <c r="I71" s="7" t="s">
        <v>401</v>
      </c>
      <c r="J71" s="7" t="s">
        <v>401</v>
      </c>
      <c r="K71" s="7" t="s">
        <v>401</v>
      </c>
      <c r="L71" s="7">
        <v>8</v>
      </c>
      <c r="M71" s="231" t="s">
        <v>401</v>
      </c>
      <c r="N71" s="239" t="s">
        <v>422</v>
      </c>
      <c r="O71" s="25"/>
      <c r="P71" s="25"/>
      <c r="Q71" s="25"/>
      <c r="R71" s="25"/>
      <c r="S71" s="25"/>
      <c r="T71" s="25"/>
    </row>
    <row r="72" spans="1:20" x14ac:dyDescent="0.25">
      <c r="A72" s="25"/>
      <c r="B72" s="235" t="s">
        <v>375</v>
      </c>
      <c r="C72" s="230" t="s">
        <v>123</v>
      </c>
      <c r="D72" s="7" t="s">
        <v>406</v>
      </c>
      <c r="E72" s="231" t="s">
        <v>423</v>
      </c>
      <c r="F72" s="242" t="s">
        <v>396</v>
      </c>
      <c r="G72" s="230">
        <v>4</v>
      </c>
      <c r="H72" s="7">
        <v>13</v>
      </c>
      <c r="I72" s="7" t="s">
        <v>401</v>
      </c>
      <c r="J72" s="7" t="s">
        <v>401</v>
      </c>
      <c r="K72" s="7" t="s">
        <v>401</v>
      </c>
      <c r="L72" s="7">
        <v>7</v>
      </c>
      <c r="M72" s="231" t="s">
        <v>401</v>
      </c>
      <c r="N72" s="239" t="s">
        <v>422</v>
      </c>
      <c r="O72" s="25"/>
      <c r="P72" s="25"/>
      <c r="Q72" s="25"/>
      <c r="R72" s="25"/>
      <c r="S72" s="25"/>
      <c r="T72" s="25"/>
    </row>
    <row r="73" spans="1:20" x14ac:dyDescent="0.25">
      <c r="A73" s="25"/>
      <c r="B73" s="235" t="s">
        <v>376</v>
      </c>
      <c r="C73" s="230" t="s">
        <v>123</v>
      </c>
      <c r="D73" s="7" t="s">
        <v>406</v>
      </c>
      <c r="E73" s="231" t="s">
        <v>376</v>
      </c>
      <c r="F73" s="242" t="s">
        <v>396</v>
      </c>
      <c r="G73" s="230">
        <v>4</v>
      </c>
      <c r="H73" s="7">
        <v>13</v>
      </c>
      <c r="I73" s="7" t="s">
        <v>401</v>
      </c>
      <c r="J73" s="7" t="s">
        <v>401</v>
      </c>
      <c r="K73" s="7" t="s">
        <v>401</v>
      </c>
      <c r="L73" s="7">
        <v>7</v>
      </c>
      <c r="M73" s="231">
        <v>13</v>
      </c>
      <c r="N73" s="239" t="s">
        <v>409</v>
      </c>
      <c r="O73" s="25"/>
      <c r="P73" s="25"/>
      <c r="Q73" s="25"/>
      <c r="R73" s="25"/>
      <c r="S73" s="25"/>
      <c r="T73" s="25"/>
    </row>
    <row r="74" spans="1:20" x14ac:dyDescent="0.25">
      <c r="A74" s="25"/>
      <c r="B74" s="235" t="s">
        <v>242</v>
      </c>
      <c r="C74" s="230" t="s">
        <v>123</v>
      </c>
      <c r="D74" s="7" t="s">
        <v>406</v>
      </c>
      <c r="E74" s="231" t="s">
        <v>242</v>
      </c>
      <c r="F74" s="242" t="s">
        <v>396</v>
      </c>
      <c r="G74" s="230">
        <v>5</v>
      </c>
      <c r="H74" s="7">
        <v>12</v>
      </c>
      <c r="I74" s="7" t="s">
        <v>401</v>
      </c>
      <c r="J74" s="7" t="s">
        <v>401</v>
      </c>
      <c r="K74" s="7" t="s">
        <v>401</v>
      </c>
      <c r="L74" s="7">
        <v>2</v>
      </c>
      <c r="M74" s="237">
        <v>5</v>
      </c>
      <c r="N74" s="239" t="s">
        <v>409</v>
      </c>
      <c r="O74" s="25"/>
      <c r="P74" s="25"/>
      <c r="Q74" s="25"/>
      <c r="R74" s="25"/>
      <c r="S74" s="25"/>
      <c r="T74" s="25"/>
    </row>
    <row r="75" spans="1:20" x14ac:dyDescent="0.25">
      <c r="A75" s="25"/>
      <c r="B75" s="235" t="s">
        <v>243</v>
      </c>
      <c r="C75" s="230" t="s">
        <v>123</v>
      </c>
      <c r="D75" s="7" t="s">
        <v>406</v>
      </c>
      <c r="E75" s="231" t="s">
        <v>243</v>
      </c>
      <c r="F75" s="242" t="s">
        <v>396</v>
      </c>
      <c r="G75" s="230">
        <v>5</v>
      </c>
      <c r="H75" s="7">
        <v>12</v>
      </c>
      <c r="I75" s="7" t="s">
        <v>401</v>
      </c>
      <c r="J75" s="7" t="s">
        <v>401</v>
      </c>
      <c r="K75" s="7" t="s">
        <v>401</v>
      </c>
      <c r="L75" s="7">
        <v>2</v>
      </c>
      <c r="M75" s="237">
        <v>6</v>
      </c>
      <c r="N75" s="239" t="s">
        <v>409</v>
      </c>
      <c r="O75" s="25"/>
      <c r="P75" s="25"/>
      <c r="Q75" s="25"/>
      <c r="R75" s="25"/>
      <c r="S75" s="25"/>
      <c r="T75" s="25"/>
    </row>
    <row r="76" spans="1:20" x14ac:dyDescent="0.25">
      <c r="A76" s="25"/>
      <c r="B76" s="235" t="s">
        <v>244</v>
      </c>
      <c r="C76" s="230" t="s">
        <v>123</v>
      </c>
      <c r="D76" s="7" t="s">
        <v>406</v>
      </c>
      <c r="E76" s="231" t="s">
        <v>244</v>
      </c>
      <c r="F76" s="242" t="s">
        <v>396</v>
      </c>
      <c r="G76" s="230">
        <v>10</v>
      </c>
      <c r="H76" s="7">
        <v>20</v>
      </c>
      <c r="I76" s="7" t="s">
        <v>401</v>
      </c>
      <c r="J76" s="7" t="s">
        <v>401</v>
      </c>
      <c r="K76" s="7" t="s">
        <v>401</v>
      </c>
      <c r="L76" s="7">
        <v>4</v>
      </c>
      <c r="M76" s="237">
        <v>12</v>
      </c>
      <c r="N76" s="239" t="s">
        <v>409</v>
      </c>
      <c r="O76" s="25"/>
      <c r="P76" s="25"/>
      <c r="Q76" s="25"/>
      <c r="R76" s="25"/>
      <c r="S76" s="25"/>
      <c r="T76" s="25"/>
    </row>
    <row r="77" spans="1:20" x14ac:dyDescent="0.25">
      <c r="A77" s="25"/>
      <c r="B77" s="235" t="s">
        <v>248</v>
      </c>
      <c r="C77" s="230" t="s">
        <v>123</v>
      </c>
      <c r="D77" s="7" t="s">
        <v>406</v>
      </c>
      <c r="E77" s="231" t="s">
        <v>424</v>
      </c>
      <c r="F77" s="242" t="s">
        <v>396</v>
      </c>
      <c r="G77" s="230">
        <v>5</v>
      </c>
      <c r="H77" s="7">
        <v>12</v>
      </c>
      <c r="I77" s="7" t="s">
        <v>401</v>
      </c>
      <c r="J77" s="7" t="s">
        <v>401</v>
      </c>
      <c r="K77" s="7" t="s">
        <v>401</v>
      </c>
      <c r="L77" s="7">
        <v>2</v>
      </c>
      <c r="M77" s="237" t="s">
        <v>401</v>
      </c>
      <c r="N77" s="239" t="s">
        <v>425</v>
      </c>
      <c r="O77" s="25"/>
      <c r="P77" s="25"/>
      <c r="Q77" s="25"/>
      <c r="R77" s="25"/>
      <c r="S77" s="25"/>
      <c r="T77" s="25"/>
    </row>
    <row r="78" spans="1:20" x14ac:dyDescent="0.25">
      <c r="A78" s="25"/>
      <c r="B78" s="235" t="s">
        <v>252</v>
      </c>
      <c r="C78" s="340" t="s">
        <v>397</v>
      </c>
      <c r="D78" s="9" t="s">
        <v>397</v>
      </c>
      <c r="E78" s="237" t="s">
        <v>400</v>
      </c>
      <c r="F78" s="242" t="s">
        <v>401</v>
      </c>
      <c r="G78" s="230" t="s">
        <v>401</v>
      </c>
      <c r="H78" s="7" t="s">
        <v>401</v>
      </c>
      <c r="I78" s="7">
        <v>1</v>
      </c>
      <c r="J78" s="7" t="s">
        <v>401</v>
      </c>
      <c r="K78" s="7" t="s">
        <v>401</v>
      </c>
      <c r="L78" s="7" t="s">
        <v>401</v>
      </c>
      <c r="M78" s="237" t="s">
        <v>401</v>
      </c>
      <c r="N78" s="239" t="s">
        <v>400</v>
      </c>
      <c r="O78" s="25"/>
      <c r="P78" s="25"/>
      <c r="Q78" s="25"/>
      <c r="R78" s="25"/>
      <c r="S78" s="25"/>
      <c r="T78" s="25"/>
    </row>
    <row r="79" spans="1:20" ht="30" x14ac:dyDescent="0.25">
      <c r="A79" s="25"/>
      <c r="B79" s="235" t="s">
        <v>249</v>
      </c>
      <c r="C79" s="230" t="s">
        <v>123</v>
      </c>
      <c r="D79" s="7" t="s">
        <v>406</v>
      </c>
      <c r="E79" s="237" t="s">
        <v>426</v>
      </c>
      <c r="F79" s="242" t="s">
        <v>396</v>
      </c>
      <c r="G79" s="230">
        <v>20</v>
      </c>
      <c r="H79" s="7" t="s">
        <v>418</v>
      </c>
      <c r="I79" s="7" t="s">
        <v>401</v>
      </c>
      <c r="J79" s="7" t="s">
        <v>401</v>
      </c>
      <c r="K79" s="7" t="s">
        <v>427</v>
      </c>
      <c r="L79" s="7">
        <v>10</v>
      </c>
      <c r="M79" s="237" t="s">
        <v>427</v>
      </c>
      <c r="N79" s="239" t="s">
        <v>428</v>
      </c>
      <c r="O79" s="25"/>
      <c r="P79" s="25"/>
      <c r="Q79" s="25"/>
      <c r="R79" s="25"/>
      <c r="S79" s="25"/>
      <c r="T79" s="25"/>
    </row>
    <row r="80" spans="1:20" ht="30" x14ac:dyDescent="0.25">
      <c r="A80" s="25"/>
      <c r="B80" s="235" t="s">
        <v>245</v>
      </c>
      <c r="C80" s="230" t="s">
        <v>123</v>
      </c>
      <c r="D80" s="7" t="s">
        <v>406</v>
      </c>
      <c r="E80" s="231" t="s">
        <v>429</v>
      </c>
      <c r="F80" s="242" t="s">
        <v>396</v>
      </c>
      <c r="G80" s="230">
        <v>20</v>
      </c>
      <c r="H80" s="7" t="s">
        <v>418</v>
      </c>
      <c r="I80" s="7" t="s">
        <v>401</v>
      </c>
      <c r="J80" s="7" t="s">
        <v>401</v>
      </c>
      <c r="K80" s="7" t="s">
        <v>401</v>
      </c>
      <c r="L80" s="7">
        <v>10</v>
      </c>
      <c r="M80" s="237" t="s">
        <v>401</v>
      </c>
      <c r="N80" s="239" t="s">
        <v>430</v>
      </c>
      <c r="O80" s="25"/>
      <c r="P80" s="25"/>
      <c r="Q80" s="25"/>
      <c r="R80" s="25"/>
      <c r="S80" s="25"/>
      <c r="T80" s="25"/>
    </row>
    <row r="81" spans="1:20" ht="30" x14ac:dyDescent="0.25">
      <c r="A81" s="25"/>
      <c r="B81" s="235" t="s">
        <v>250</v>
      </c>
      <c r="C81" s="230" t="s">
        <v>123</v>
      </c>
      <c r="D81" s="7" t="s">
        <v>406</v>
      </c>
      <c r="E81" s="237" t="s">
        <v>431</v>
      </c>
      <c r="F81" s="242" t="s">
        <v>396</v>
      </c>
      <c r="G81" s="230">
        <v>20</v>
      </c>
      <c r="H81" s="7" t="s">
        <v>418</v>
      </c>
      <c r="I81" s="7" t="s">
        <v>401</v>
      </c>
      <c r="J81" s="7" t="s">
        <v>401</v>
      </c>
      <c r="K81" s="7" t="s">
        <v>401</v>
      </c>
      <c r="L81" s="7">
        <v>10</v>
      </c>
      <c r="M81" s="237">
        <v>10</v>
      </c>
      <c r="N81" s="239" t="s">
        <v>428</v>
      </c>
      <c r="O81" s="25"/>
      <c r="P81" s="25"/>
      <c r="Q81" s="25"/>
      <c r="R81" s="25"/>
      <c r="S81" s="25"/>
      <c r="T81" s="25"/>
    </row>
    <row r="82" spans="1:20" x14ac:dyDescent="0.25">
      <c r="A82" s="25"/>
      <c r="B82" s="235" t="s">
        <v>246</v>
      </c>
      <c r="C82" s="230" t="s">
        <v>123</v>
      </c>
      <c r="D82" s="7" t="s">
        <v>406</v>
      </c>
      <c r="E82" s="231" t="s">
        <v>432</v>
      </c>
      <c r="F82" s="242" t="s">
        <v>396</v>
      </c>
      <c r="G82" s="230">
        <v>20</v>
      </c>
      <c r="H82" s="7" t="s">
        <v>418</v>
      </c>
      <c r="I82" s="7" t="s">
        <v>401</v>
      </c>
      <c r="J82" s="7" t="s">
        <v>401</v>
      </c>
      <c r="K82" s="7" t="s">
        <v>401</v>
      </c>
      <c r="L82" s="7">
        <v>10</v>
      </c>
      <c r="M82" s="237">
        <v>10</v>
      </c>
      <c r="N82" s="239" t="s">
        <v>409</v>
      </c>
      <c r="O82" s="25"/>
      <c r="P82" s="25"/>
      <c r="Q82" s="25"/>
      <c r="R82" s="25"/>
      <c r="S82" s="25"/>
      <c r="T82" s="25"/>
    </row>
    <row r="83" spans="1:20" x14ac:dyDescent="0.25">
      <c r="A83" s="25"/>
      <c r="B83" s="235" t="s">
        <v>269</v>
      </c>
      <c r="C83" s="230" t="s">
        <v>123</v>
      </c>
      <c r="D83" s="7" t="s">
        <v>406</v>
      </c>
      <c r="E83" s="231" t="s">
        <v>269</v>
      </c>
      <c r="F83" s="242" t="s">
        <v>396</v>
      </c>
      <c r="G83" s="230">
        <v>5</v>
      </c>
      <c r="H83" s="7">
        <v>10</v>
      </c>
      <c r="I83" s="7" t="s">
        <v>401</v>
      </c>
      <c r="J83" s="7" t="s">
        <v>401</v>
      </c>
      <c r="K83" s="7" t="s">
        <v>401</v>
      </c>
      <c r="L83" s="7">
        <v>4</v>
      </c>
      <c r="M83" s="237">
        <v>10</v>
      </c>
      <c r="N83" s="239" t="s">
        <v>409</v>
      </c>
      <c r="O83" s="25"/>
      <c r="P83" s="25"/>
      <c r="Q83" s="25"/>
      <c r="R83" s="25"/>
      <c r="S83" s="25"/>
      <c r="T83" s="25"/>
    </row>
    <row r="84" spans="1:20" x14ac:dyDescent="0.25">
      <c r="A84" s="25"/>
      <c r="B84" s="235" t="s">
        <v>268</v>
      </c>
      <c r="C84" s="230" t="s">
        <v>123</v>
      </c>
      <c r="D84" s="7" t="s">
        <v>406</v>
      </c>
      <c r="E84" s="231" t="s">
        <v>268</v>
      </c>
      <c r="F84" s="242" t="s">
        <v>396</v>
      </c>
      <c r="G84" s="230">
        <v>5</v>
      </c>
      <c r="H84" s="7">
        <v>10</v>
      </c>
      <c r="I84" s="7" t="s">
        <v>401</v>
      </c>
      <c r="J84" s="7" t="s">
        <v>401</v>
      </c>
      <c r="K84" s="7" t="s">
        <v>401</v>
      </c>
      <c r="L84" s="7">
        <v>4</v>
      </c>
      <c r="M84" s="237">
        <v>10</v>
      </c>
      <c r="N84" s="239" t="s">
        <v>409</v>
      </c>
      <c r="O84" s="25"/>
      <c r="P84" s="25"/>
      <c r="Q84" s="25"/>
      <c r="R84" s="25"/>
      <c r="S84" s="25"/>
      <c r="T84" s="25"/>
    </row>
    <row r="85" spans="1:20" x14ac:dyDescent="0.25">
      <c r="A85" s="25"/>
      <c r="B85" s="235" t="s">
        <v>270</v>
      </c>
      <c r="C85" s="340" t="s">
        <v>397</v>
      </c>
      <c r="D85" s="9" t="s">
        <v>397</v>
      </c>
      <c r="E85" s="237" t="s">
        <v>433</v>
      </c>
      <c r="F85" s="242" t="s">
        <v>401</v>
      </c>
      <c r="G85" s="230" t="s">
        <v>401</v>
      </c>
      <c r="H85" s="7" t="s">
        <v>401</v>
      </c>
      <c r="I85" s="7">
        <v>1</v>
      </c>
      <c r="J85" s="7" t="s">
        <v>401</v>
      </c>
      <c r="K85" s="7" t="s">
        <v>401</v>
      </c>
      <c r="L85" s="7" t="s">
        <v>401</v>
      </c>
      <c r="M85" s="237" t="s">
        <v>401</v>
      </c>
      <c r="N85" s="239" t="s">
        <v>434</v>
      </c>
      <c r="O85" s="25"/>
      <c r="P85" s="25"/>
      <c r="Q85" s="25"/>
      <c r="R85" s="25"/>
      <c r="S85" s="25"/>
      <c r="T85" s="25"/>
    </row>
    <row r="86" spans="1:20" x14ac:dyDescent="0.25">
      <c r="A86" s="25"/>
      <c r="B86" s="235"/>
      <c r="C86" s="230"/>
      <c r="D86" s="7"/>
      <c r="E86" s="231"/>
      <c r="F86" s="242"/>
      <c r="G86" s="230"/>
      <c r="H86" s="7"/>
      <c r="I86" s="7"/>
      <c r="J86" s="7"/>
      <c r="K86" s="7"/>
      <c r="L86" s="7"/>
      <c r="M86" s="231"/>
      <c r="N86" s="235"/>
      <c r="O86" s="25"/>
      <c r="P86" s="25"/>
      <c r="Q86" s="25"/>
      <c r="R86" s="25"/>
      <c r="S86" s="25"/>
      <c r="T86" s="25"/>
    </row>
    <row r="87" spans="1:20" x14ac:dyDescent="0.25">
      <c r="A87" s="25"/>
      <c r="B87" s="235"/>
      <c r="C87" s="230"/>
      <c r="D87" s="7"/>
      <c r="E87" s="231"/>
      <c r="F87" s="242"/>
      <c r="G87" s="230"/>
      <c r="H87" s="7"/>
      <c r="I87" s="7"/>
      <c r="J87" s="7"/>
      <c r="K87" s="7"/>
      <c r="L87" s="7"/>
      <c r="M87" s="231"/>
      <c r="N87" s="235"/>
      <c r="O87" s="25"/>
      <c r="P87" s="25"/>
      <c r="Q87" s="25"/>
      <c r="R87" s="25"/>
      <c r="S87" s="25"/>
      <c r="T87" s="25"/>
    </row>
    <row r="88" spans="1:20" x14ac:dyDescent="0.25">
      <c r="A88" s="25"/>
      <c r="B88" s="235"/>
      <c r="C88" s="230"/>
      <c r="D88" s="7"/>
      <c r="E88" s="231"/>
      <c r="F88" s="242"/>
      <c r="G88" s="230"/>
      <c r="H88" s="7"/>
      <c r="I88" s="7"/>
      <c r="J88" s="7"/>
      <c r="K88" s="7"/>
      <c r="L88" s="7"/>
      <c r="M88" s="231"/>
      <c r="N88" s="235"/>
      <c r="O88" s="25"/>
      <c r="P88" s="25"/>
      <c r="Q88" s="25"/>
      <c r="R88" s="25"/>
      <c r="S88" s="25"/>
      <c r="T88" s="25"/>
    </row>
    <row r="89" spans="1:20" x14ac:dyDescent="0.25">
      <c r="A89" s="25"/>
      <c r="B89" s="235"/>
      <c r="C89" s="230"/>
      <c r="D89" s="7"/>
      <c r="E89" s="231"/>
      <c r="F89" s="242"/>
      <c r="G89" s="230"/>
      <c r="H89" s="7"/>
      <c r="I89" s="7"/>
      <c r="J89" s="7"/>
      <c r="K89" s="7"/>
      <c r="L89" s="7"/>
      <c r="M89" s="231"/>
      <c r="N89" s="235"/>
      <c r="O89" s="25"/>
      <c r="P89" s="25"/>
      <c r="Q89" s="25"/>
      <c r="R89" s="25"/>
      <c r="S89" s="25"/>
      <c r="T89" s="25"/>
    </row>
    <row r="90" spans="1:20" x14ac:dyDescent="0.25">
      <c r="A90" s="25"/>
      <c r="B90" s="235"/>
      <c r="C90" s="230"/>
      <c r="D90" s="7"/>
      <c r="E90" s="231"/>
      <c r="F90" s="242"/>
      <c r="G90" s="230"/>
      <c r="H90" s="7"/>
      <c r="I90" s="7"/>
      <c r="J90" s="7"/>
      <c r="K90" s="7"/>
      <c r="L90" s="7"/>
      <c r="M90" s="231"/>
      <c r="N90" s="235"/>
      <c r="O90" s="25"/>
      <c r="P90" s="25"/>
      <c r="Q90" s="25"/>
      <c r="R90" s="25"/>
      <c r="S90" s="25"/>
      <c r="T90" s="25"/>
    </row>
    <row r="91" spans="1:20" x14ac:dyDescent="0.25">
      <c r="A91" s="25"/>
      <c r="B91" s="235"/>
      <c r="C91" s="230"/>
      <c r="D91" s="7"/>
      <c r="E91" s="231"/>
      <c r="F91" s="242"/>
      <c r="G91" s="230"/>
      <c r="H91" s="7"/>
      <c r="I91" s="7"/>
      <c r="J91" s="7"/>
      <c r="K91" s="7"/>
      <c r="L91" s="7"/>
      <c r="M91" s="231"/>
      <c r="N91" s="235"/>
      <c r="O91" s="25"/>
      <c r="P91" s="25"/>
      <c r="Q91" s="25"/>
      <c r="R91" s="25"/>
      <c r="S91" s="25"/>
      <c r="T91" s="25"/>
    </row>
    <row r="92" spans="1:20" x14ac:dyDescent="0.25">
      <c r="A92" s="25"/>
      <c r="B92" s="235"/>
      <c r="C92" s="230"/>
      <c r="D92" s="7"/>
      <c r="E92" s="231"/>
      <c r="F92" s="242"/>
      <c r="G92" s="230"/>
      <c r="H92" s="7"/>
      <c r="I92" s="7"/>
      <c r="J92" s="7"/>
      <c r="K92" s="7"/>
      <c r="L92" s="7"/>
      <c r="M92" s="231"/>
      <c r="N92" s="235"/>
      <c r="O92" s="25"/>
      <c r="P92" s="25"/>
      <c r="Q92" s="25"/>
      <c r="R92" s="25"/>
      <c r="S92" s="25"/>
      <c r="T92" s="25"/>
    </row>
    <row r="93" spans="1:20" x14ac:dyDescent="0.25">
      <c r="A93" s="25"/>
      <c r="B93" s="235"/>
      <c r="C93" s="230"/>
      <c r="D93" s="7"/>
      <c r="E93" s="231"/>
      <c r="F93" s="242"/>
      <c r="G93" s="230"/>
      <c r="H93" s="7"/>
      <c r="I93" s="7"/>
      <c r="J93" s="7"/>
      <c r="K93" s="7"/>
      <c r="L93" s="7"/>
      <c r="M93" s="231"/>
      <c r="N93" s="235"/>
      <c r="O93" s="25"/>
      <c r="P93" s="25"/>
      <c r="Q93" s="25"/>
      <c r="R93" s="25"/>
      <c r="S93" s="25"/>
      <c r="T93" s="25"/>
    </row>
    <row r="94" spans="1:20" x14ac:dyDescent="0.25">
      <c r="A94" s="25"/>
      <c r="B94" s="235"/>
      <c r="C94" s="230"/>
      <c r="D94" s="7"/>
      <c r="E94" s="231"/>
      <c r="F94" s="242"/>
      <c r="G94" s="230"/>
      <c r="H94" s="7"/>
      <c r="I94" s="7"/>
      <c r="J94" s="7"/>
      <c r="K94" s="7"/>
      <c r="L94" s="7"/>
      <c r="M94" s="231"/>
      <c r="N94" s="235"/>
      <c r="O94" s="25"/>
      <c r="P94" s="25"/>
      <c r="Q94" s="25"/>
      <c r="R94" s="25"/>
      <c r="S94" s="25"/>
      <c r="T94" s="25"/>
    </row>
    <row r="95" spans="1:20" x14ac:dyDescent="0.25">
      <c r="A95" s="25"/>
      <c r="B95" s="235"/>
      <c r="C95" s="230"/>
      <c r="D95" s="7"/>
      <c r="E95" s="231"/>
      <c r="F95" s="242"/>
      <c r="G95" s="230"/>
      <c r="H95" s="7"/>
      <c r="I95" s="7"/>
      <c r="J95" s="7"/>
      <c r="K95" s="7"/>
      <c r="L95" s="7"/>
      <c r="M95" s="231"/>
      <c r="N95" s="235"/>
      <c r="O95" s="25"/>
      <c r="P95" s="25"/>
      <c r="Q95" s="25"/>
      <c r="R95" s="25"/>
      <c r="S95" s="25"/>
      <c r="T95" s="25"/>
    </row>
    <row r="96" spans="1:20" x14ac:dyDescent="0.25">
      <c r="A96" s="25"/>
      <c r="B96" s="235"/>
      <c r="C96" s="230"/>
      <c r="D96" s="7"/>
      <c r="E96" s="231"/>
      <c r="F96" s="242"/>
      <c r="G96" s="230"/>
      <c r="H96" s="7"/>
      <c r="I96" s="7"/>
      <c r="J96" s="7"/>
      <c r="K96" s="7"/>
      <c r="L96" s="7"/>
      <c r="M96" s="231"/>
      <c r="N96" s="235"/>
      <c r="O96" s="25"/>
      <c r="P96" s="25"/>
      <c r="Q96" s="25"/>
      <c r="R96" s="25"/>
      <c r="S96" s="25"/>
      <c r="T96" s="25"/>
    </row>
    <row r="97" spans="1:20" x14ac:dyDescent="0.25">
      <c r="A97" s="25"/>
      <c r="B97" s="235"/>
      <c r="C97" s="230"/>
      <c r="D97" s="7"/>
      <c r="E97" s="231"/>
      <c r="F97" s="242"/>
      <c r="G97" s="230"/>
      <c r="H97" s="7"/>
      <c r="I97" s="7"/>
      <c r="J97" s="7"/>
      <c r="K97" s="7"/>
      <c r="L97" s="7"/>
      <c r="M97" s="231"/>
      <c r="N97" s="235"/>
      <c r="O97" s="25"/>
      <c r="P97" s="25"/>
      <c r="Q97" s="25"/>
      <c r="R97" s="25"/>
      <c r="S97" s="25"/>
      <c r="T97" s="25"/>
    </row>
    <row r="98" spans="1:20" x14ac:dyDescent="0.25">
      <c r="A98" s="25"/>
      <c r="B98" s="235"/>
      <c r="C98" s="230"/>
      <c r="D98" s="7"/>
      <c r="E98" s="231"/>
      <c r="F98" s="242"/>
      <c r="G98" s="230"/>
      <c r="H98" s="7"/>
      <c r="I98" s="7"/>
      <c r="J98" s="7"/>
      <c r="K98" s="7"/>
      <c r="L98" s="7"/>
      <c r="M98" s="231"/>
      <c r="N98" s="235"/>
      <c r="O98" s="25"/>
      <c r="P98" s="25"/>
      <c r="Q98" s="25"/>
      <c r="R98" s="25"/>
      <c r="S98" s="25"/>
      <c r="T98" s="25"/>
    </row>
    <row r="99" spans="1:20" x14ac:dyDescent="0.25">
      <c r="A99" s="25"/>
      <c r="B99" s="235"/>
      <c r="C99" s="230"/>
      <c r="D99" s="7"/>
      <c r="E99" s="231"/>
      <c r="F99" s="242"/>
      <c r="G99" s="230"/>
      <c r="H99" s="7"/>
      <c r="I99" s="7"/>
      <c r="J99" s="7"/>
      <c r="K99" s="7"/>
      <c r="L99" s="7"/>
      <c r="M99" s="231"/>
      <c r="N99" s="235"/>
      <c r="O99" s="25"/>
      <c r="P99" s="25"/>
      <c r="Q99" s="25"/>
      <c r="R99" s="25"/>
      <c r="S99" s="25"/>
      <c r="T99" s="25"/>
    </row>
    <row r="100" spans="1:20" x14ac:dyDescent="0.25">
      <c r="A100" s="25"/>
      <c r="B100" s="235"/>
      <c r="C100" s="230"/>
      <c r="D100" s="7"/>
      <c r="E100" s="231"/>
      <c r="F100" s="242"/>
      <c r="G100" s="230"/>
      <c r="H100" s="7"/>
      <c r="I100" s="7"/>
      <c r="J100" s="7"/>
      <c r="K100" s="7"/>
      <c r="L100" s="7"/>
      <c r="M100" s="231"/>
      <c r="N100" s="235"/>
      <c r="O100" s="25"/>
      <c r="P100" s="25"/>
      <c r="Q100" s="25"/>
      <c r="R100" s="25"/>
      <c r="S100" s="25"/>
      <c r="T100" s="25"/>
    </row>
    <row r="101" spans="1:20" x14ac:dyDescent="0.25">
      <c r="A101" s="25"/>
      <c r="B101" s="235"/>
      <c r="C101" s="230"/>
      <c r="D101" s="7"/>
      <c r="E101" s="231"/>
      <c r="F101" s="242"/>
      <c r="G101" s="230"/>
      <c r="H101" s="7"/>
      <c r="I101" s="7"/>
      <c r="J101" s="7"/>
      <c r="K101" s="7"/>
      <c r="L101" s="7"/>
      <c r="M101" s="231"/>
      <c r="N101" s="235"/>
      <c r="O101" s="25"/>
      <c r="P101" s="25"/>
      <c r="Q101" s="25"/>
      <c r="R101" s="25"/>
      <c r="S101" s="25"/>
      <c r="T101" s="25"/>
    </row>
    <row r="102" spans="1:20" x14ac:dyDescent="0.25">
      <c r="A102" s="25"/>
      <c r="B102" s="235"/>
      <c r="C102" s="230"/>
      <c r="D102" s="7"/>
      <c r="E102" s="231"/>
      <c r="F102" s="242"/>
      <c r="G102" s="230"/>
      <c r="H102" s="7"/>
      <c r="I102" s="7"/>
      <c r="J102" s="7"/>
      <c r="K102" s="7"/>
      <c r="L102" s="7"/>
      <c r="M102" s="231"/>
      <c r="N102" s="235"/>
      <c r="O102" s="25"/>
      <c r="P102" s="25"/>
      <c r="Q102" s="25"/>
      <c r="R102" s="25"/>
      <c r="S102" s="25"/>
      <c r="T102" s="25"/>
    </row>
    <row r="103" spans="1:20" x14ac:dyDescent="0.25">
      <c r="A103" s="25"/>
      <c r="B103" s="235"/>
      <c r="C103" s="230"/>
      <c r="D103" s="7"/>
      <c r="E103" s="231"/>
      <c r="F103" s="242"/>
      <c r="G103" s="230"/>
      <c r="H103" s="7"/>
      <c r="I103" s="7"/>
      <c r="J103" s="7"/>
      <c r="K103" s="7"/>
      <c r="L103" s="7"/>
      <c r="M103" s="231"/>
      <c r="N103" s="235"/>
      <c r="O103" s="25"/>
      <c r="P103" s="25"/>
      <c r="Q103" s="25"/>
      <c r="R103" s="25"/>
      <c r="S103" s="25"/>
      <c r="T103" s="25"/>
    </row>
    <row r="104" spans="1:20" x14ac:dyDescent="0.25">
      <c r="A104" s="25"/>
      <c r="B104" s="235"/>
      <c r="C104" s="230"/>
      <c r="D104" s="7"/>
      <c r="E104" s="231"/>
      <c r="F104" s="242"/>
      <c r="G104" s="230"/>
      <c r="H104" s="7"/>
      <c r="I104" s="7"/>
      <c r="J104" s="7"/>
      <c r="K104" s="7"/>
      <c r="L104" s="7"/>
      <c r="M104" s="231"/>
      <c r="N104" s="235"/>
      <c r="O104" s="25"/>
      <c r="P104" s="25"/>
      <c r="Q104" s="25"/>
      <c r="R104" s="25"/>
      <c r="S104" s="25"/>
      <c r="T104" s="25"/>
    </row>
    <row r="105" spans="1:20" x14ac:dyDescent="0.25">
      <c r="A105" s="25"/>
      <c r="B105" s="235"/>
      <c r="C105" s="230"/>
      <c r="D105" s="7"/>
      <c r="E105" s="231"/>
      <c r="F105" s="242"/>
      <c r="G105" s="230"/>
      <c r="H105" s="7"/>
      <c r="I105" s="7"/>
      <c r="J105" s="7"/>
      <c r="K105" s="7"/>
      <c r="L105" s="7"/>
      <c r="M105" s="231"/>
      <c r="N105" s="235"/>
      <c r="O105" s="25"/>
      <c r="P105" s="25"/>
      <c r="Q105" s="25"/>
      <c r="R105" s="25"/>
      <c r="S105" s="25"/>
      <c r="T105" s="25"/>
    </row>
    <row r="106" spans="1:20" ht="15.75" thickBot="1" x14ac:dyDescent="0.3">
      <c r="A106" s="25"/>
      <c r="B106" s="236"/>
      <c r="C106" s="232"/>
      <c r="D106" s="233"/>
      <c r="E106" s="234"/>
      <c r="F106" s="343"/>
      <c r="G106" s="232"/>
      <c r="H106" s="233"/>
      <c r="I106" s="233"/>
      <c r="J106" s="233"/>
      <c r="K106" s="233"/>
      <c r="L106" s="233"/>
      <c r="M106" s="234"/>
      <c r="N106" s="236"/>
      <c r="O106" s="25"/>
      <c r="P106" s="25"/>
      <c r="Q106" s="25"/>
      <c r="R106" s="25"/>
      <c r="S106" s="25"/>
      <c r="T106" s="25"/>
    </row>
    <row r="107" spans="1:20" x14ac:dyDescent="0.25">
      <c r="A107" s="25"/>
      <c r="B107" s="25"/>
      <c r="C107" s="25"/>
      <c r="D107" s="25"/>
      <c r="E107" s="25"/>
      <c r="F107" s="25"/>
      <c r="G107" s="25"/>
      <c r="H107" s="25"/>
      <c r="I107" s="25"/>
      <c r="J107" s="25"/>
      <c r="K107" s="25"/>
      <c r="L107" s="25"/>
      <c r="M107" s="25"/>
      <c r="N107" s="25"/>
      <c r="O107" s="25"/>
      <c r="P107" s="25"/>
      <c r="Q107" s="25"/>
      <c r="R107" s="25"/>
      <c r="S107" s="25"/>
      <c r="T107" s="25"/>
    </row>
    <row r="108" spans="1:20" x14ac:dyDescent="0.25">
      <c r="A108" s="25"/>
      <c r="B108" s="25"/>
      <c r="C108" s="25"/>
      <c r="D108" s="25"/>
      <c r="E108" s="25"/>
      <c r="F108" s="25"/>
      <c r="G108" s="25"/>
      <c r="H108" s="25"/>
      <c r="I108" s="25"/>
      <c r="J108" s="25"/>
      <c r="K108" s="25"/>
      <c r="L108" s="25"/>
      <c r="M108" s="25"/>
      <c r="N108" s="25"/>
      <c r="O108" s="25"/>
      <c r="P108" s="25"/>
      <c r="Q108" s="25"/>
      <c r="R108" s="25"/>
      <c r="S108" s="25"/>
      <c r="T108" s="25"/>
    </row>
    <row r="109" spans="1:20" x14ac:dyDescent="0.25">
      <c r="A109" s="25"/>
      <c r="B109" s="25"/>
      <c r="C109" s="25"/>
      <c r="D109" s="25"/>
      <c r="E109" s="25"/>
      <c r="F109" s="25"/>
      <c r="G109" s="25"/>
      <c r="H109" s="25"/>
      <c r="I109" s="25"/>
      <c r="J109" s="25"/>
      <c r="K109" s="25"/>
      <c r="L109" s="25"/>
      <c r="M109" s="25"/>
      <c r="N109" s="25"/>
      <c r="O109" s="25"/>
      <c r="P109" s="25"/>
      <c r="Q109" s="25"/>
      <c r="R109" s="25"/>
      <c r="S109" s="25"/>
      <c r="T109" s="25"/>
    </row>
    <row r="110" spans="1:20" x14ac:dyDescent="0.25">
      <c r="A110" s="25"/>
      <c r="B110" s="25"/>
      <c r="C110" s="25"/>
      <c r="D110" s="25"/>
      <c r="E110" s="25"/>
      <c r="F110" s="25"/>
      <c r="G110" s="25"/>
      <c r="H110" s="25"/>
      <c r="I110" s="25"/>
      <c r="J110" s="25"/>
      <c r="K110" s="25"/>
      <c r="L110" s="25"/>
      <c r="M110" s="25"/>
      <c r="N110" s="25"/>
      <c r="O110" s="25"/>
      <c r="P110" s="25"/>
      <c r="Q110" s="25"/>
      <c r="R110" s="25"/>
      <c r="S110" s="25"/>
      <c r="T110" s="25"/>
    </row>
    <row r="111" spans="1:20" x14ac:dyDescent="0.25">
      <c r="A111" s="25"/>
      <c r="B111" s="25"/>
      <c r="C111" s="25"/>
      <c r="D111" s="25"/>
      <c r="E111" s="25"/>
      <c r="F111" s="25"/>
      <c r="G111" s="25"/>
      <c r="H111" s="25"/>
      <c r="I111" s="25"/>
      <c r="J111" s="25"/>
      <c r="K111" s="25"/>
      <c r="L111" s="25"/>
      <c r="M111" s="25"/>
      <c r="N111" s="25"/>
      <c r="O111" s="25"/>
      <c r="P111" s="25"/>
      <c r="Q111" s="25"/>
      <c r="R111" s="25"/>
      <c r="S111" s="25"/>
      <c r="T111" s="25"/>
    </row>
    <row r="112" spans="1:20" x14ac:dyDescent="0.25">
      <c r="A112" s="25"/>
      <c r="B112" s="25"/>
      <c r="C112" s="25"/>
      <c r="D112" s="25"/>
      <c r="E112" s="25"/>
      <c r="F112" s="25"/>
      <c r="G112" s="25"/>
      <c r="H112" s="25"/>
      <c r="I112" s="25"/>
      <c r="J112" s="25"/>
      <c r="K112" s="25"/>
      <c r="L112" s="25"/>
      <c r="M112" s="25"/>
      <c r="N112" s="25"/>
      <c r="O112" s="25"/>
      <c r="P112" s="25"/>
      <c r="Q112" s="25"/>
      <c r="R112" s="25"/>
      <c r="S112" s="25"/>
      <c r="T112" s="25"/>
    </row>
    <row r="113" spans="1:20" x14ac:dyDescent="0.25">
      <c r="A113" s="25"/>
      <c r="B113" s="25"/>
      <c r="C113" s="25"/>
      <c r="D113" s="25"/>
      <c r="E113" s="25"/>
      <c r="F113" s="25"/>
      <c r="G113" s="25"/>
      <c r="H113" s="25"/>
      <c r="I113" s="25"/>
      <c r="J113" s="25"/>
      <c r="K113" s="25"/>
      <c r="L113" s="25"/>
      <c r="M113" s="25"/>
      <c r="N113" s="25"/>
      <c r="O113" s="25"/>
      <c r="P113" s="25"/>
      <c r="Q113" s="25"/>
      <c r="R113" s="25"/>
      <c r="S113" s="25"/>
      <c r="T113" s="25"/>
    </row>
    <row r="114" spans="1:20" x14ac:dyDescent="0.25">
      <c r="A114" s="25"/>
      <c r="B114" s="25"/>
      <c r="C114" s="25"/>
      <c r="D114" s="25"/>
      <c r="E114" s="25"/>
      <c r="F114" s="25"/>
      <c r="G114" s="25"/>
      <c r="H114" s="25"/>
      <c r="I114" s="25"/>
      <c r="J114" s="25"/>
      <c r="K114" s="25"/>
      <c r="L114" s="25"/>
      <c r="M114" s="25"/>
      <c r="N114" s="25"/>
      <c r="O114" s="25"/>
      <c r="P114" s="25"/>
      <c r="Q114" s="25"/>
      <c r="R114" s="25"/>
      <c r="S114" s="25"/>
      <c r="T114" s="25"/>
    </row>
    <row r="115" spans="1:20" x14ac:dyDescent="0.25">
      <c r="A115" s="25"/>
      <c r="B115" s="25"/>
      <c r="C115" s="25"/>
      <c r="D115" s="25"/>
      <c r="E115" s="25"/>
      <c r="F115" s="25"/>
      <c r="G115" s="25"/>
      <c r="H115" s="25"/>
      <c r="I115" s="25"/>
      <c r="J115" s="25"/>
      <c r="K115" s="25"/>
      <c r="L115" s="25"/>
      <c r="M115" s="25"/>
      <c r="N115" s="25"/>
      <c r="O115" s="25"/>
      <c r="P115" s="25"/>
      <c r="Q115" s="25"/>
      <c r="R115" s="25"/>
      <c r="S115" s="25"/>
      <c r="T115" s="25"/>
    </row>
    <row r="116" spans="1:20" x14ac:dyDescent="0.25">
      <c r="A116" s="25"/>
      <c r="B116" s="25"/>
      <c r="C116" s="25"/>
      <c r="D116" s="25"/>
      <c r="E116" s="25"/>
      <c r="F116" s="25"/>
      <c r="G116" s="25"/>
      <c r="H116" s="25"/>
      <c r="I116" s="25"/>
      <c r="J116" s="25"/>
      <c r="K116" s="25"/>
      <c r="L116" s="25"/>
      <c r="M116" s="25"/>
      <c r="N116" s="25"/>
      <c r="O116" s="25"/>
      <c r="P116" s="25"/>
      <c r="Q116" s="25"/>
      <c r="R116" s="25"/>
      <c r="S116" s="25"/>
      <c r="T116" s="25"/>
    </row>
    <row r="117" spans="1:20" x14ac:dyDescent="0.25">
      <c r="A117" s="25"/>
      <c r="B117" s="25"/>
      <c r="C117" s="25"/>
      <c r="D117" s="25"/>
      <c r="E117" s="25"/>
      <c r="F117" s="25"/>
      <c r="G117" s="25"/>
      <c r="H117" s="25"/>
      <c r="I117" s="25"/>
      <c r="J117" s="25"/>
      <c r="K117" s="25"/>
      <c r="L117" s="25"/>
      <c r="M117" s="25"/>
      <c r="N117" s="25"/>
      <c r="O117" s="25"/>
      <c r="P117" s="25"/>
      <c r="Q117" s="25"/>
      <c r="R117" s="25"/>
      <c r="S117" s="25"/>
      <c r="T117" s="25"/>
    </row>
    <row r="118" spans="1:20" x14ac:dyDescent="0.25">
      <c r="A118" s="25"/>
      <c r="B118" s="25"/>
      <c r="C118" s="25"/>
      <c r="D118" s="25"/>
      <c r="E118" s="25"/>
      <c r="F118" s="25"/>
      <c r="G118" s="25"/>
      <c r="H118" s="25"/>
      <c r="I118" s="25"/>
      <c r="J118" s="25"/>
      <c r="K118" s="25"/>
      <c r="L118" s="25"/>
      <c r="M118" s="25"/>
      <c r="N118" s="25"/>
      <c r="O118" s="25"/>
      <c r="P118" s="25"/>
      <c r="Q118" s="25"/>
      <c r="R118" s="25"/>
      <c r="S118" s="25"/>
      <c r="T118" s="25"/>
    </row>
    <row r="119" spans="1:20" x14ac:dyDescent="0.25">
      <c r="A119" s="25"/>
      <c r="B119" s="25"/>
      <c r="C119" s="25"/>
      <c r="D119" s="25"/>
      <c r="E119" s="25"/>
      <c r="F119" s="25"/>
      <c r="G119" s="25"/>
      <c r="H119" s="25"/>
      <c r="I119" s="25"/>
      <c r="J119" s="25"/>
      <c r="K119" s="25"/>
      <c r="L119" s="25"/>
      <c r="M119" s="25"/>
      <c r="N119" s="25"/>
      <c r="O119" s="25"/>
      <c r="P119" s="25"/>
      <c r="Q119" s="25"/>
      <c r="R119" s="25"/>
      <c r="S119" s="25"/>
      <c r="T119" s="25"/>
    </row>
    <row r="120" spans="1:20" x14ac:dyDescent="0.25">
      <c r="A120" s="25"/>
      <c r="B120" s="25"/>
      <c r="C120" s="25"/>
      <c r="D120" s="25"/>
      <c r="E120" s="25"/>
      <c r="F120" s="25"/>
      <c r="G120" s="25"/>
      <c r="H120" s="25"/>
      <c r="I120" s="25"/>
      <c r="J120" s="25"/>
      <c r="K120" s="25"/>
      <c r="L120" s="25"/>
      <c r="M120" s="25"/>
      <c r="N120" s="25"/>
      <c r="O120" s="25"/>
      <c r="P120" s="25"/>
      <c r="Q120" s="25"/>
      <c r="R120" s="25"/>
      <c r="S120" s="25"/>
      <c r="T120" s="25"/>
    </row>
    <row r="121" spans="1:20" x14ac:dyDescent="0.25">
      <c r="A121" s="25"/>
      <c r="B121" s="25"/>
      <c r="C121" s="25"/>
      <c r="D121" s="25"/>
      <c r="E121" s="25"/>
      <c r="F121" s="25"/>
      <c r="G121" s="25"/>
      <c r="H121" s="25"/>
      <c r="I121" s="25"/>
      <c r="J121" s="25"/>
      <c r="K121" s="25"/>
      <c r="L121" s="25"/>
      <c r="M121" s="25"/>
      <c r="N121" s="25"/>
      <c r="O121" s="25"/>
      <c r="P121" s="25"/>
      <c r="Q121" s="25"/>
      <c r="R121" s="25"/>
      <c r="S121" s="25"/>
      <c r="T121" s="25"/>
    </row>
    <row r="122" spans="1:20" x14ac:dyDescent="0.25">
      <c r="A122" s="25"/>
      <c r="B122" s="25"/>
      <c r="C122" s="25"/>
      <c r="D122" s="25"/>
      <c r="E122" s="25"/>
      <c r="F122" s="25"/>
      <c r="G122" s="25"/>
      <c r="H122" s="25"/>
      <c r="I122" s="25"/>
      <c r="J122" s="25"/>
      <c r="K122" s="25"/>
      <c r="L122" s="25"/>
      <c r="M122" s="25"/>
      <c r="N122" s="25"/>
      <c r="O122" s="25"/>
      <c r="P122" s="25"/>
      <c r="Q122" s="25"/>
      <c r="R122" s="25"/>
      <c r="S122" s="25"/>
      <c r="T122" s="25"/>
    </row>
    <row r="123" spans="1:20" x14ac:dyDescent="0.25">
      <c r="A123" s="25"/>
      <c r="B123" s="25"/>
      <c r="C123" s="25"/>
      <c r="D123" s="25"/>
      <c r="E123" s="25"/>
      <c r="F123" s="25"/>
      <c r="G123" s="25"/>
      <c r="H123" s="25"/>
      <c r="I123" s="25"/>
      <c r="J123" s="25"/>
      <c r="K123" s="25"/>
      <c r="L123" s="25"/>
      <c r="M123" s="25"/>
      <c r="N123" s="25"/>
      <c r="O123" s="25"/>
      <c r="P123" s="25"/>
      <c r="Q123" s="25"/>
      <c r="R123" s="25"/>
      <c r="S123" s="25"/>
      <c r="T123" s="25"/>
    </row>
    <row r="124" spans="1:20" x14ac:dyDescent="0.25">
      <c r="A124" s="25"/>
      <c r="B124" s="25"/>
      <c r="C124" s="25"/>
      <c r="D124" s="25"/>
      <c r="E124" s="25"/>
      <c r="F124" s="25"/>
      <c r="G124" s="25"/>
      <c r="H124" s="25"/>
      <c r="I124" s="25"/>
      <c r="J124" s="25"/>
      <c r="K124" s="25"/>
      <c r="L124" s="25"/>
      <c r="M124" s="25"/>
      <c r="N124" s="25"/>
      <c r="O124" s="25"/>
      <c r="P124" s="25"/>
      <c r="Q124" s="25"/>
      <c r="R124" s="25"/>
      <c r="S124" s="25"/>
      <c r="T124" s="25"/>
    </row>
    <row r="125" spans="1:20" x14ac:dyDescent="0.25">
      <c r="A125" s="25"/>
      <c r="B125" s="25"/>
      <c r="C125" s="25"/>
      <c r="D125" s="25"/>
      <c r="E125" s="25"/>
      <c r="F125" s="25"/>
      <c r="G125" s="25"/>
      <c r="H125" s="25"/>
      <c r="I125" s="25"/>
      <c r="J125" s="25"/>
      <c r="K125" s="25"/>
      <c r="L125" s="25"/>
      <c r="M125" s="25"/>
      <c r="N125" s="25"/>
      <c r="O125" s="25"/>
      <c r="P125" s="25"/>
      <c r="Q125" s="25"/>
      <c r="R125" s="25"/>
      <c r="S125" s="25"/>
      <c r="T125" s="25"/>
    </row>
    <row r="126" spans="1:20" x14ac:dyDescent="0.25">
      <c r="A126" s="25"/>
      <c r="B126" s="25"/>
      <c r="C126" s="25"/>
      <c r="D126" s="25"/>
      <c r="E126" s="25"/>
      <c r="F126" s="25"/>
      <c r="G126" s="25"/>
      <c r="H126" s="25"/>
      <c r="I126" s="25"/>
      <c r="J126" s="25"/>
      <c r="K126" s="25"/>
      <c r="L126" s="25"/>
      <c r="M126" s="25"/>
      <c r="N126" s="25"/>
      <c r="O126" s="25"/>
      <c r="P126" s="25"/>
      <c r="Q126" s="25"/>
      <c r="R126" s="25"/>
      <c r="S126" s="25"/>
      <c r="T126" s="25"/>
    </row>
    <row r="127" spans="1:20" x14ac:dyDescent="0.25">
      <c r="A127" s="25"/>
      <c r="B127" s="25"/>
      <c r="C127" s="25"/>
      <c r="D127" s="25"/>
      <c r="E127" s="25"/>
      <c r="F127" s="25"/>
      <c r="G127" s="25"/>
      <c r="H127" s="25"/>
      <c r="I127" s="25"/>
      <c r="J127" s="25"/>
      <c r="K127" s="25"/>
      <c r="L127" s="25"/>
      <c r="M127" s="25"/>
      <c r="N127" s="25"/>
      <c r="O127" s="25"/>
      <c r="P127" s="25"/>
      <c r="Q127" s="25"/>
      <c r="R127" s="25"/>
      <c r="S127" s="25"/>
      <c r="T127" s="25"/>
    </row>
    <row r="128" spans="1:20" x14ac:dyDescent="0.25">
      <c r="A128" s="25"/>
      <c r="B128" s="25"/>
      <c r="C128" s="25"/>
      <c r="D128" s="25"/>
      <c r="E128" s="25"/>
      <c r="F128" s="25"/>
      <c r="G128" s="25"/>
      <c r="H128" s="25"/>
      <c r="I128" s="25"/>
      <c r="J128" s="25"/>
      <c r="K128" s="25"/>
      <c r="L128" s="25"/>
      <c r="M128" s="25"/>
      <c r="N128" s="25"/>
      <c r="O128" s="25"/>
      <c r="P128" s="25"/>
      <c r="Q128" s="25"/>
      <c r="R128" s="25"/>
      <c r="S128" s="25"/>
      <c r="T128" s="25"/>
    </row>
    <row r="129" spans="1:20" x14ac:dyDescent="0.25">
      <c r="A129" s="25"/>
      <c r="B129" s="25"/>
      <c r="C129" s="25"/>
      <c r="D129" s="25"/>
      <c r="E129" s="25"/>
      <c r="F129" s="25"/>
      <c r="G129" s="25"/>
      <c r="H129" s="25"/>
      <c r="I129" s="25"/>
      <c r="J129" s="25"/>
      <c r="K129" s="25"/>
      <c r="L129" s="25"/>
      <c r="M129" s="25"/>
      <c r="N129" s="25"/>
      <c r="O129" s="25"/>
      <c r="P129" s="25"/>
      <c r="Q129" s="25"/>
      <c r="R129" s="25"/>
      <c r="S129" s="25"/>
      <c r="T129" s="25"/>
    </row>
    <row r="130" spans="1:20" x14ac:dyDescent="0.25">
      <c r="A130" s="25"/>
      <c r="B130" s="25"/>
      <c r="C130" s="25"/>
      <c r="D130" s="25"/>
      <c r="E130" s="25"/>
      <c r="F130" s="25"/>
      <c r="G130" s="25"/>
      <c r="H130" s="25"/>
      <c r="I130" s="25"/>
      <c r="J130" s="25"/>
      <c r="K130" s="25"/>
      <c r="L130" s="25"/>
      <c r="M130" s="25"/>
      <c r="N130" s="25"/>
      <c r="O130" s="25"/>
      <c r="P130" s="25"/>
      <c r="Q130" s="25"/>
      <c r="R130" s="25"/>
      <c r="S130" s="25"/>
      <c r="T130" s="25"/>
    </row>
    <row r="131" spans="1:20" hidden="1" x14ac:dyDescent="0.25">
      <c r="A131" s="25"/>
      <c r="B131" s="25"/>
      <c r="C131" s="25"/>
      <c r="D131" s="25"/>
      <c r="E131" s="25"/>
      <c r="F131" s="25"/>
      <c r="G131" s="25"/>
      <c r="H131" s="25"/>
      <c r="I131" s="25"/>
      <c r="J131" s="25"/>
      <c r="K131" s="25"/>
      <c r="L131" s="25"/>
      <c r="M131" s="25"/>
      <c r="N131" s="25"/>
      <c r="O131" s="25"/>
      <c r="P131" s="25"/>
      <c r="Q131" s="25"/>
      <c r="R131" s="25"/>
      <c r="S131" s="25"/>
      <c r="T131" s="25"/>
    </row>
    <row r="132" spans="1:20" hidden="1" x14ac:dyDescent="0.25">
      <c r="M132" s="25"/>
      <c r="N132" s="25"/>
      <c r="O132" s="25"/>
      <c r="P132" s="25"/>
      <c r="Q132" s="25"/>
      <c r="R132" s="25"/>
      <c r="S132" s="25"/>
      <c r="T132" s="25"/>
    </row>
    <row r="133" spans="1:20" hidden="1" x14ac:dyDescent="0.25">
      <c r="M133" s="25"/>
      <c r="N133" s="25"/>
      <c r="O133" s="25"/>
      <c r="P133" s="25"/>
      <c r="Q133" s="25"/>
      <c r="R133" s="25"/>
      <c r="S133" s="25"/>
      <c r="T133" s="25"/>
    </row>
    <row r="134" spans="1:20" hidden="1" x14ac:dyDescent="0.25">
      <c r="M134" s="25"/>
      <c r="N134" s="25"/>
      <c r="O134" s="25"/>
      <c r="P134" s="25"/>
      <c r="Q134" s="25"/>
      <c r="R134" s="25"/>
      <c r="S134" s="25"/>
      <c r="T134" s="25"/>
    </row>
    <row r="135" spans="1:20" hidden="1" x14ac:dyDescent="0.25">
      <c r="M135" s="25"/>
      <c r="N135" s="25"/>
      <c r="O135" s="25"/>
      <c r="P135" s="25"/>
      <c r="Q135" s="25"/>
      <c r="R135" s="25"/>
      <c r="S135" s="25"/>
      <c r="T135" s="25"/>
    </row>
    <row r="136" spans="1:20" hidden="1" x14ac:dyDescent="0.25">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election activeCell="XFB1" sqref="XFB1"/>
    </sheetView>
  </sheetViews>
  <sheetFormatPr defaultColWidth="2.7109375" defaultRowHeight="15" zeroHeight="1" x14ac:dyDescent="0.25"/>
  <cols>
    <col min="1" max="1" width="25.28515625" customWidth="1"/>
    <col min="2" max="2" width="8.7109375" customWidth="1"/>
    <col min="3" max="3" width="42" customWidth="1"/>
    <col min="4" max="4" width="18.7109375" customWidth="1"/>
    <col min="5" max="5" width="32.42578125" customWidth="1"/>
    <col min="6" max="6" width="19.5703125" customWidth="1"/>
    <col min="7" max="7" width="32" bestFit="1" customWidth="1"/>
    <col min="8" max="8" width="8.7109375" customWidth="1"/>
    <col min="9" max="9" width="82.42578125" bestFit="1" customWidth="1"/>
    <col min="10" max="10" width="13.7109375" customWidth="1"/>
    <col min="11" max="11" width="35.28515625" bestFit="1" customWidth="1"/>
    <col min="12" max="12" width="8.7109375" customWidth="1"/>
    <col min="13" max="13" width="48.5703125" bestFit="1" customWidth="1"/>
    <col min="14" max="14" width="8.7109375" customWidth="1"/>
    <col min="15" max="15" width="33.5703125" bestFit="1" customWidth="1"/>
    <col min="16" max="16" width="8.7109375" customWidth="1"/>
    <col min="17" max="17" width="44" customWidth="1"/>
    <col min="18" max="18" width="8.7109375" customWidth="1"/>
    <col min="19" max="19" width="35.7109375" bestFit="1" customWidth="1"/>
    <col min="20" max="20" width="8.7109375" customWidth="1"/>
    <col min="21" max="21" width="61.5703125" customWidth="1"/>
    <col min="22" max="22" width="12" bestFit="1" customWidth="1"/>
    <col min="23" max="23" width="81.7109375" bestFit="1" customWidth="1"/>
    <col min="24" max="24" width="61.28515625" bestFit="1" customWidth="1"/>
    <col min="25" max="25" width="47.7109375" bestFit="1" customWidth="1"/>
    <col min="26" max="26" width="17" bestFit="1" customWidth="1"/>
    <col min="27" max="27" width="48.28515625" customWidth="1"/>
    <col min="28" max="28" width="17" bestFit="1" customWidth="1"/>
    <col min="29" max="29" width="48.28515625" customWidth="1"/>
    <col min="30" max="16380" width="2.7109375" hidden="1" customWidth="1"/>
    <col min="16381" max="16384" width="2.7109375" style="25" customWidth="1"/>
  </cols>
  <sheetData>
    <row r="1" spans="1:29" x14ac:dyDescent="0.25">
      <c r="A1" s="65" t="s">
        <v>435</v>
      </c>
      <c r="B1" s="25"/>
      <c r="C1" s="65" t="s">
        <v>211</v>
      </c>
      <c r="D1" s="25"/>
      <c r="E1" s="65" t="s">
        <v>215</v>
      </c>
      <c r="F1" s="25"/>
      <c r="G1" s="65" t="s">
        <v>436</v>
      </c>
      <c r="H1" s="25"/>
      <c r="I1" s="65" t="s">
        <v>437</v>
      </c>
      <c r="J1" s="25"/>
      <c r="K1" s="65" t="s">
        <v>438</v>
      </c>
      <c r="L1" s="25"/>
      <c r="M1" s="65" t="s">
        <v>219</v>
      </c>
      <c r="N1" s="25"/>
      <c r="O1" s="65" t="s">
        <v>439</v>
      </c>
      <c r="P1" s="25"/>
      <c r="Q1" s="65" t="s">
        <v>221</v>
      </c>
      <c r="R1" s="25"/>
      <c r="S1" s="65" t="s">
        <v>440</v>
      </c>
      <c r="T1" s="25"/>
      <c r="U1" s="65" t="s">
        <v>441</v>
      </c>
      <c r="V1" s="25"/>
      <c r="W1" s="65" t="s">
        <v>442</v>
      </c>
      <c r="X1" s="25"/>
      <c r="Y1" s="65" t="s">
        <v>261</v>
      </c>
      <c r="Z1" s="25"/>
      <c r="AA1" s="65" t="s">
        <v>443</v>
      </c>
      <c r="AB1" s="25"/>
      <c r="AC1" s="65" t="s">
        <v>444</v>
      </c>
    </row>
    <row r="2" spans="1:29" x14ac:dyDescent="0.25">
      <c r="A2" s="64" t="s">
        <v>211</v>
      </c>
      <c r="B2" s="25"/>
      <c r="C2" s="17" t="s">
        <v>305</v>
      </c>
      <c r="D2" s="25"/>
      <c r="E2" s="64" t="s">
        <v>317</v>
      </c>
      <c r="F2" s="25"/>
      <c r="G2" s="64" t="s">
        <v>322</v>
      </c>
      <c r="H2" s="25"/>
      <c r="I2" s="64" t="s">
        <v>374</v>
      </c>
      <c r="J2" s="25"/>
      <c r="K2" s="64" t="s">
        <v>364</v>
      </c>
      <c r="L2" s="25"/>
      <c r="M2" s="64" t="s">
        <v>331</v>
      </c>
      <c r="N2" s="25"/>
      <c r="O2" s="64" t="s">
        <v>335</v>
      </c>
      <c r="P2" s="25"/>
      <c r="Q2" s="64" t="s">
        <v>338</v>
      </c>
      <c r="R2" s="25"/>
      <c r="S2" s="64" t="s">
        <v>360</v>
      </c>
      <c r="T2" s="25"/>
      <c r="U2" s="64" t="s">
        <v>242</v>
      </c>
      <c r="V2" s="25"/>
      <c r="W2" s="64" t="s">
        <v>249</v>
      </c>
      <c r="X2" s="25"/>
      <c r="Y2" s="64" t="s">
        <v>268</v>
      </c>
      <c r="Z2" s="25"/>
      <c r="AA2" s="301" t="s">
        <v>365</v>
      </c>
      <c r="AB2" s="25"/>
      <c r="AC2" s="382" t="s">
        <v>103</v>
      </c>
    </row>
    <row r="3" spans="1:29" x14ac:dyDescent="0.25">
      <c r="A3" s="64" t="s">
        <v>215</v>
      </c>
      <c r="B3" s="25"/>
      <c r="C3" s="17" t="s">
        <v>307</v>
      </c>
      <c r="D3" s="25"/>
      <c r="E3" s="64" t="s">
        <v>318</v>
      </c>
      <c r="F3" s="25"/>
      <c r="G3" s="64" t="s">
        <v>323</v>
      </c>
      <c r="H3" s="25"/>
      <c r="I3" s="64" t="s">
        <v>375</v>
      </c>
      <c r="J3" s="25"/>
      <c r="K3" s="64" t="s">
        <v>366</v>
      </c>
      <c r="L3" s="25"/>
      <c r="M3" s="64" t="s">
        <v>333</v>
      </c>
      <c r="N3" s="25"/>
      <c r="O3" s="66" t="s">
        <v>336</v>
      </c>
      <c r="P3" s="25"/>
      <c r="Q3" s="64" t="s">
        <v>339</v>
      </c>
      <c r="R3" s="25"/>
      <c r="S3" s="64" t="s">
        <v>361</v>
      </c>
      <c r="T3" s="25"/>
      <c r="U3" s="64" t="s">
        <v>243</v>
      </c>
      <c r="V3" s="25"/>
      <c r="W3" s="64" t="s">
        <v>245</v>
      </c>
      <c r="X3" s="25"/>
      <c r="Y3" s="64" t="s">
        <v>270</v>
      </c>
      <c r="Z3" s="25"/>
      <c r="AA3" s="301"/>
      <c r="AB3" s="25"/>
      <c r="AC3" s="301"/>
    </row>
    <row r="4" spans="1:29" x14ac:dyDescent="0.25">
      <c r="A4" s="64" t="s">
        <v>216</v>
      </c>
      <c r="B4" s="25"/>
      <c r="C4" s="17" t="s">
        <v>308</v>
      </c>
      <c r="D4" s="25"/>
      <c r="E4" s="64" t="s">
        <v>319</v>
      </c>
      <c r="F4" s="25"/>
      <c r="G4" s="64" t="s">
        <v>324</v>
      </c>
      <c r="H4" s="25"/>
      <c r="I4" s="64" t="s">
        <v>376</v>
      </c>
      <c r="J4" s="25"/>
      <c r="K4" s="64" t="s">
        <v>367</v>
      </c>
      <c r="L4" s="25"/>
      <c r="M4" s="66" t="s">
        <v>334</v>
      </c>
      <c r="N4" s="25"/>
      <c r="O4" s="301" t="s">
        <v>337</v>
      </c>
      <c r="P4" s="25"/>
      <c r="Q4" s="64" t="s">
        <v>342</v>
      </c>
      <c r="R4" s="25"/>
      <c r="S4" s="64" t="s">
        <v>362</v>
      </c>
      <c r="T4" s="25"/>
      <c r="U4" s="64" t="s">
        <v>244</v>
      </c>
      <c r="V4" s="25"/>
      <c r="W4" s="64" t="s">
        <v>250</v>
      </c>
      <c r="X4" s="25"/>
      <c r="Y4" s="64" t="s">
        <v>269</v>
      </c>
      <c r="Z4" s="25"/>
      <c r="AA4" s="17"/>
      <c r="AB4" s="25"/>
      <c r="AC4" s="17"/>
    </row>
    <row r="5" spans="1:29" x14ac:dyDescent="0.25">
      <c r="A5" s="64" t="s">
        <v>217</v>
      </c>
      <c r="B5" s="25"/>
      <c r="C5" s="17" t="s">
        <v>309</v>
      </c>
      <c r="D5" s="25"/>
      <c r="E5" s="64" t="s">
        <v>320</v>
      </c>
      <c r="F5" s="25"/>
      <c r="G5" s="64" t="s">
        <v>325</v>
      </c>
      <c r="H5" s="25"/>
      <c r="I5" s="17"/>
      <c r="J5" s="25"/>
      <c r="K5" s="64" t="s">
        <v>368</v>
      </c>
      <c r="L5" s="25"/>
      <c r="M5" s="17"/>
      <c r="N5" s="25"/>
      <c r="O5" s="17"/>
      <c r="P5" s="25"/>
      <c r="Q5" s="64" t="s">
        <v>343</v>
      </c>
      <c r="R5" s="25"/>
      <c r="S5" s="64" t="s">
        <v>363</v>
      </c>
      <c r="T5" s="25"/>
      <c r="U5" s="64" t="s">
        <v>248</v>
      </c>
      <c r="V5" s="25"/>
      <c r="W5" s="64" t="s">
        <v>246</v>
      </c>
      <c r="X5" s="25"/>
      <c r="Y5" s="64"/>
      <c r="Z5" s="25"/>
      <c r="AA5" s="17"/>
      <c r="AB5" s="25"/>
      <c r="AC5" s="17"/>
    </row>
    <row r="6" spans="1:29" x14ac:dyDescent="0.25">
      <c r="A6" s="64" t="s">
        <v>218</v>
      </c>
      <c r="B6" s="25"/>
      <c r="C6" s="17" t="s">
        <v>310</v>
      </c>
      <c r="D6" s="25"/>
      <c r="E6" s="66" t="s">
        <v>321</v>
      </c>
      <c r="F6" s="25"/>
      <c r="G6" s="64" t="s">
        <v>326</v>
      </c>
      <c r="H6" s="25"/>
      <c r="I6" s="17"/>
      <c r="J6" s="25"/>
      <c r="K6" s="64" t="s">
        <v>369</v>
      </c>
      <c r="L6" s="25"/>
      <c r="M6" s="17"/>
      <c r="N6" s="25"/>
      <c r="O6" s="17"/>
      <c r="P6" s="25"/>
      <c r="Q6" s="64" t="s">
        <v>344</v>
      </c>
      <c r="R6" s="25"/>
      <c r="S6" s="17"/>
      <c r="T6" s="25"/>
      <c r="U6" s="64" t="s">
        <v>252</v>
      </c>
      <c r="V6" s="25"/>
      <c r="W6" s="17"/>
      <c r="X6" s="25"/>
      <c r="Y6" s="64"/>
      <c r="Z6" s="25"/>
      <c r="AA6" s="17"/>
      <c r="AB6" s="25"/>
      <c r="AC6" s="17"/>
    </row>
    <row r="7" spans="1:29" x14ac:dyDescent="0.25">
      <c r="A7" s="64" t="s">
        <v>219</v>
      </c>
      <c r="B7" s="25"/>
      <c r="C7" s="17" t="s">
        <v>312</v>
      </c>
      <c r="D7" s="25"/>
      <c r="E7" s="17"/>
      <c r="F7" s="25"/>
      <c r="G7" s="64" t="s">
        <v>327</v>
      </c>
      <c r="H7" s="25"/>
      <c r="I7" s="17"/>
      <c r="J7" s="25"/>
      <c r="K7" s="64" t="s">
        <v>370</v>
      </c>
      <c r="L7" s="25"/>
      <c r="M7" s="17"/>
      <c r="N7" s="25"/>
      <c r="O7" s="17"/>
      <c r="P7" s="25"/>
      <c r="Q7" s="64" t="s">
        <v>345</v>
      </c>
      <c r="R7" s="25"/>
      <c r="S7" s="17"/>
      <c r="T7" s="25"/>
      <c r="U7" s="64" t="s">
        <v>249</v>
      </c>
      <c r="V7" s="25"/>
      <c r="W7" s="17"/>
      <c r="X7" s="25"/>
      <c r="Y7" s="64"/>
      <c r="Z7" s="25"/>
      <c r="AA7" s="17"/>
      <c r="AB7" s="25"/>
      <c r="AC7" s="17"/>
    </row>
    <row r="8" spans="1:29" x14ac:dyDescent="0.25">
      <c r="A8" s="64" t="s">
        <v>220</v>
      </c>
      <c r="B8" s="25"/>
      <c r="C8" s="17" t="s">
        <v>313</v>
      </c>
      <c r="D8" s="25"/>
      <c r="E8" s="17"/>
      <c r="F8" s="25"/>
      <c r="G8" s="64" t="s">
        <v>328</v>
      </c>
      <c r="H8" s="25"/>
      <c r="I8" s="17"/>
      <c r="J8" s="25"/>
      <c r="K8" s="66" t="s">
        <v>371</v>
      </c>
      <c r="L8" s="25"/>
      <c r="M8" s="17"/>
      <c r="N8" s="25"/>
      <c r="O8" s="17"/>
      <c r="P8" s="25"/>
      <c r="Q8" s="64" t="s">
        <v>346</v>
      </c>
      <c r="R8" s="25"/>
      <c r="S8" s="17"/>
      <c r="T8" s="25"/>
      <c r="U8" s="64" t="s">
        <v>245</v>
      </c>
      <c r="V8" s="25"/>
      <c r="W8" s="17"/>
      <c r="X8" s="25"/>
      <c r="Y8" s="64"/>
      <c r="Z8" s="25"/>
      <c r="AA8" s="17"/>
      <c r="AB8" s="25"/>
      <c r="AC8" s="17"/>
    </row>
    <row r="9" spans="1:29" x14ac:dyDescent="0.25">
      <c r="A9" s="64" t="s">
        <v>221</v>
      </c>
      <c r="B9" s="25"/>
      <c r="C9" s="17" t="s">
        <v>314</v>
      </c>
      <c r="D9" s="25"/>
      <c r="E9" s="17"/>
      <c r="F9" s="25"/>
      <c r="G9" s="66" t="s">
        <v>329</v>
      </c>
      <c r="H9" s="25"/>
      <c r="I9" s="17"/>
      <c r="J9" s="25"/>
      <c r="K9" s="64" t="s">
        <v>372</v>
      </c>
      <c r="L9" s="25"/>
      <c r="M9" s="17"/>
      <c r="N9" s="25"/>
      <c r="O9" s="17"/>
      <c r="P9" s="25"/>
      <c r="Q9" s="64" t="s">
        <v>351</v>
      </c>
      <c r="R9" s="25"/>
      <c r="S9" s="17"/>
      <c r="T9" s="25"/>
      <c r="U9" s="64" t="s">
        <v>250</v>
      </c>
      <c r="V9" s="25"/>
      <c r="W9" s="17"/>
      <c r="X9" s="25"/>
      <c r="Y9" s="64"/>
      <c r="Z9" s="25"/>
      <c r="AA9" s="17"/>
      <c r="AB9" s="25"/>
      <c r="AC9" s="17"/>
    </row>
    <row r="10" spans="1:29" x14ac:dyDescent="0.25">
      <c r="A10" s="66" t="s">
        <v>222</v>
      </c>
      <c r="B10" s="25"/>
      <c r="C10" s="17" t="s">
        <v>315</v>
      </c>
      <c r="D10" s="25"/>
      <c r="E10" s="17"/>
      <c r="F10" s="25"/>
      <c r="G10" s="66" t="s">
        <v>330</v>
      </c>
      <c r="H10" s="25"/>
      <c r="I10" s="17"/>
      <c r="J10" s="25"/>
      <c r="K10" s="64" t="s">
        <v>373</v>
      </c>
      <c r="L10" s="25"/>
      <c r="M10" s="17"/>
      <c r="N10" s="25"/>
      <c r="O10" s="17"/>
      <c r="P10" s="25"/>
      <c r="Q10" s="64" t="s">
        <v>348</v>
      </c>
      <c r="R10" s="25"/>
      <c r="S10" s="17"/>
      <c r="T10" s="25"/>
      <c r="U10" s="66" t="s">
        <v>246</v>
      </c>
      <c r="V10" s="25"/>
      <c r="W10" s="17"/>
      <c r="X10" s="25"/>
      <c r="Y10" s="64"/>
      <c r="Z10" s="25"/>
      <c r="AA10" s="17"/>
      <c r="AB10" s="25"/>
      <c r="AC10" s="17"/>
    </row>
    <row r="11" spans="1:29" x14ac:dyDescent="0.25">
      <c r="A11" s="133" t="s">
        <v>223</v>
      </c>
      <c r="B11" s="25"/>
      <c r="C11" s="17" t="s">
        <v>316</v>
      </c>
      <c r="D11" s="25"/>
      <c r="E11" s="17"/>
      <c r="F11" s="25"/>
      <c r="G11" s="17"/>
      <c r="H11" s="25"/>
      <c r="I11" s="17"/>
      <c r="J11" s="25"/>
      <c r="K11" s="17"/>
      <c r="L11" s="25"/>
      <c r="M11" s="17"/>
      <c r="N11" s="25"/>
      <c r="O11" s="17"/>
      <c r="P11" s="25"/>
      <c r="Q11" s="64" t="s">
        <v>349</v>
      </c>
      <c r="R11" s="25"/>
      <c r="S11" s="17"/>
      <c r="T11" s="25"/>
      <c r="U11" s="17"/>
      <c r="V11" s="25"/>
      <c r="W11" s="17"/>
      <c r="X11" s="25"/>
      <c r="Y11" s="66"/>
      <c r="Z11" s="25"/>
      <c r="AA11" s="17"/>
      <c r="AB11" s="25"/>
      <c r="AC11" s="17"/>
    </row>
    <row r="12" spans="1:29" x14ac:dyDescent="0.25">
      <c r="A12" s="17"/>
      <c r="B12" s="25"/>
      <c r="C12" s="17"/>
      <c r="D12" s="25"/>
      <c r="E12" s="17"/>
      <c r="F12" s="25"/>
      <c r="G12" s="17"/>
      <c r="H12" s="25"/>
      <c r="I12" s="17"/>
      <c r="J12" s="25"/>
      <c r="K12" s="17"/>
      <c r="L12" s="25"/>
      <c r="M12" s="17"/>
      <c r="N12" s="25"/>
      <c r="O12" s="17"/>
      <c r="P12" s="25"/>
      <c r="Q12" s="64" t="s">
        <v>350</v>
      </c>
      <c r="R12" s="25"/>
      <c r="S12" s="17"/>
      <c r="T12" s="25"/>
      <c r="U12" s="17"/>
      <c r="V12" s="25"/>
      <c r="W12" s="17"/>
      <c r="X12" s="25"/>
      <c r="Y12" s="17"/>
      <c r="Z12" s="25"/>
      <c r="AA12" s="17"/>
      <c r="AB12" s="25"/>
      <c r="AC12" s="17"/>
    </row>
    <row r="13" spans="1:29" x14ac:dyDescent="0.25">
      <c r="A13" s="17"/>
      <c r="B13" s="25"/>
      <c r="C13" s="17"/>
      <c r="D13" s="25"/>
      <c r="E13" s="17"/>
      <c r="F13" s="25"/>
      <c r="G13" s="17"/>
      <c r="H13" s="25"/>
      <c r="I13" s="17"/>
      <c r="J13" s="25"/>
      <c r="K13" s="17"/>
      <c r="L13" s="25"/>
      <c r="M13" s="17"/>
      <c r="N13" s="25"/>
      <c r="O13" s="17"/>
      <c r="P13" s="25"/>
      <c r="Q13" s="64" t="s">
        <v>347</v>
      </c>
      <c r="R13" s="25"/>
      <c r="S13" s="17"/>
      <c r="T13" s="25"/>
      <c r="U13" s="17"/>
      <c r="V13" s="25"/>
      <c r="W13" s="17"/>
      <c r="X13" s="25"/>
      <c r="Y13" s="17"/>
      <c r="Z13" s="25"/>
      <c r="AA13" s="17"/>
      <c r="AB13" s="25"/>
      <c r="AC13" s="17"/>
    </row>
    <row r="14" spans="1:29" x14ac:dyDescent="0.25">
      <c r="A14" s="17"/>
      <c r="B14" s="25"/>
      <c r="C14" s="17"/>
      <c r="D14" s="25"/>
      <c r="E14" s="17"/>
      <c r="F14" s="25"/>
      <c r="G14" s="17"/>
      <c r="H14" s="25"/>
      <c r="I14" s="17"/>
      <c r="J14" s="25"/>
      <c r="K14" s="17"/>
      <c r="L14" s="25"/>
      <c r="M14" s="17"/>
      <c r="N14" s="25"/>
      <c r="O14" s="17"/>
      <c r="P14" s="25"/>
      <c r="Q14" s="64" t="s">
        <v>352</v>
      </c>
      <c r="R14" s="25"/>
      <c r="S14" s="17"/>
      <c r="T14" s="25"/>
      <c r="U14" s="17"/>
      <c r="V14" s="25"/>
      <c r="W14" s="17"/>
      <c r="X14" s="25"/>
      <c r="Y14" s="17"/>
      <c r="Z14" s="25"/>
      <c r="AA14" s="17"/>
      <c r="AB14" s="25"/>
      <c r="AC14" s="17"/>
    </row>
    <row r="15" spans="1:29" x14ac:dyDescent="0.25">
      <c r="A15" s="17"/>
      <c r="B15" s="25"/>
      <c r="C15" s="17"/>
      <c r="D15" s="25"/>
      <c r="E15" s="17"/>
      <c r="F15" s="25"/>
      <c r="G15" s="17"/>
      <c r="H15" s="25"/>
      <c r="I15" s="17"/>
      <c r="J15" s="25"/>
      <c r="K15" s="17"/>
      <c r="L15" s="25"/>
      <c r="M15" s="17"/>
      <c r="N15" s="25"/>
      <c r="O15" s="17"/>
      <c r="P15" s="25"/>
      <c r="Q15" s="64" t="s">
        <v>353</v>
      </c>
      <c r="R15" s="25"/>
      <c r="S15" s="17"/>
      <c r="T15" s="25"/>
      <c r="U15" s="17"/>
      <c r="V15" s="25"/>
      <c r="W15" s="17"/>
      <c r="X15" s="25"/>
      <c r="Y15" s="17"/>
      <c r="Z15" s="25"/>
      <c r="AA15" s="17"/>
      <c r="AB15" s="25"/>
      <c r="AC15" s="17"/>
    </row>
    <row r="16" spans="1:29" x14ac:dyDescent="0.25">
      <c r="A16" s="17"/>
      <c r="B16" s="25"/>
      <c r="C16" s="17"/>
      <c r="D16" s="25"/>
      <c r="E16" s="17"/>
      <c r="F16" s="25"/>
      <c r="G16" s="17"/>
      <c r="H16" s="25"/>
      <c r="I16" s="17"/>
      <c r="J16" s="25"/>
      <c r="K16" s="17"/>
      <c r="L16" s="25"/>
      <c r="M16" s="17"/>
      <c r="N16" s="25"/>
      <c r="O16" s="17"/>
      <c r="P16" s="25"/>
      <c r="Q16" s="64" t="s">
        <v>354</v>
      </c>
      <c r="R16" s="25"/>
      <c r="S16" s="17"/>
      <c r="T16" s="25"/>
      <c r="U16" s="17"/>
      <c r="V16" s="25"/>
      <c r="W16" s="17"/>
      <c r="X16" s="25"/>
      <c r="Y16" s="17"/>
      <c r="Z16" s="25"/>
      <c r="AA16" s="17"/>
      <c r="AB16" s="25"/>
      <c r="AC16" s="17"/>
    </row>
    <row r="17" spans="1:29" x14ac:dyDescent="0.25">
      <c r="A17" s="17"/>
      <c r="B17" s="25"/>
      <c r="C17" s="17"/>
      <c r="D17" s="25"/>
      <c r="E17" s="17"/>
      <c r="F17" s="25"/>
      <c r="G17" s="17"/>
      <c r="H17" s="25"/>
      <c r="I17" s="17"/>
      <c r="J17" s="25"/>
      <c r="K17" s="17"/>
      <c r="L17" s="25"/>
      <c r="M17" s="17"/>
      <c r="N17" s="25"/>
      <c r="O17" s="17"/>
      <c r="P17" s="25"/>
      <c r="Q17" s="64" t="s">
        <v>355</v>
      </c>
      <c r="R17" s="25"/>
      <c r="S17" s="17"/>
      <c r="T17" s="25"/>
      <c r="U17" s="17"/>
      <c r="V17" s="25"/>
      <c r="W17" s="17"/>
      <c r="X17" s="25"/>
      <c r="Y17" s="17"/>
      <c r="Z17" s="25"/>
      <c r="AA17" s="17"/>
      <c r="AB17" s="25"/>
      <c r="AC17" s="17"/>
    </row>
    <row r="18" spans="1:29" x14ac:dyDescent="0.25">
      <c r="A18" s="17"/>
      <c r="B18" s="25"/>
      <c r="C18" s="17"/>
      <c r="D18" s="25"/>
      <c r="E18" s="17"/>
      <c r="F18" s="25"/>
      <c r="G18" s="17"/>
      <c r="H18" s="25"/>
      <c r="I18" s="17"/>
      <c r="J18" s="25"/>
      <c r="K18" s="17"/>
      <c r="L18" s="25"/>
      <c r="M18" s="17"/>
      <c r="N18" s="25"/>
      <c r="O18" s="17"/>
      <c r="P18" s="25"/>
      <c r="Q18" s="64" t="s">
        <v>356</v>
      </c>
      <c r="R18" s="25"/>
      <c r="S18" s="17"/>
      <c r="T18" s="25"/>
      <c r="U18" s="17"/>
      <c r="V18" s="25"/>
      <c r="W18" s="17"/>
      <c r="X18" s="25"/>
      <c r="Y18" s="17"/>
      <c r="Z18" s="25"/>
      <c r="AA18" s="17"/>
      <c r="AB18" s="25"/>
      <c r="AC18" s="17"/>
    </row>
    <row r="19" spans="1:29" x14ac:dyDescent="0.25">
      <c r="A19" s="17"/>
      <c r="B19" s="25"/>
      <c r="C19" s="17"/>
      <c r="D19" s="25"/>
      <c r="E19" s="17"/>
      <c r="F19" s="25"/>
      <c r="G19" s="17"/>
      <c r="H19" s="25"/>
      <c r="I19" s="17"/>
      <c r="J19" s="25"/>
      <c r="K19" s="17"/>
      <c r="L19" s="25"/>
      <c r="M19" s="17"/>
      <c r="N19" s="25"/>
      <c r="O19" s="17"/>
      <c r="P19" s="25"/>
      <c r="Q19" s="64" t="s">
        <v>357</v>
      </c>
      <c r="R19" s="25"/>
      <c r="S19" s="17"/>
      <c r="T19" s="25"/>
      <c r="U19" s="17"/>
      <c r="V19" s="25"/>
      <c r="W19" s="17"/>
      <c r="X19" s="25"/>
      <c r="Y19" s="17"/>
      <c r="Z19" s="25"/>
      <c r="AA19" s="17"/>
      <c r="AB19" s="25"/>
      <c r="AC19" s="17"/>
    </row>
    <row r="20" spans="1:29" x14ac:dyDescent="0.25">
      <c r="A20" s="17"/>
      <c r="B20" s="25"/>
      <c r="C20" s="17"/>
      <c r="D20" s="25"/>
      <c r="E20" s="17"/>
      <c r="F20" s="25"/>
      <c r="G20" s="17"/>
      <c r="H20" s="25"/>
      <c r="I20" s="17"/>
      <c r="J20" s="25"/>
      <c r="K20" s="17"/>
      <c r="L20" s="25"/>
      <c r="M20" s="17"/>
      <c r="N20" s="25"/>
      <c r="O20" s="17"/>
      <c r="P20" s="25"/>
      <c r="Q20" s="66" t="s">
        <v>358</v>
      </c>
      <c r="R20" s="25"/>
      <c r="S20" s="17"/>
      <c r="T20" s="25"/>
      <c r="U20" s="17"/>
      <c r="V20" s="25"/>
      <c r="W20" s="17"/>
      <c r="X20" s="25"/>
      <c r="Y20" s="17"/>
      <c r="Z20" s="25"/>
      <c r="AA20" s="17"/>
      <c r="AB20" s="25"/>
      <c r="AC20" s="17"/>
    </row>
    <row r="21" spans="1:29" x14ac:dyDescent="0.25">
      <c r="A21" s="17"/>
      <c r="B21" s="25"/>
      <c r="C21" s="17"/>
      <c r="D21" s="25"/>
      <c r="E21" s="17"/>
      <c r="F21" s="25"/>
      <c r="G21" s="17"/>
      <c r="H21" s="25"/>
      <c r="I21" s="17"/>
      <c r="J21" s="25"/>
      <c r="K21" s="17"/>
      <c r="L21" s="25"/>
      <c r="M21" s="17"/>
      <c r="N21" s="25"/>
      <c r="O21" s="17"/>
      <c r="P21" s="25"/>
      <c r="Q21" s="66" t="s">
        <v>359</v>
      </c>
      <c r="R21" s="25"/>
      <c r="S21" s="17"/>
      <c r="T21" s="25"/>
      <c r="U21" s="17"/>
      <c r="V21" s="25"/>
      <c r="W21" s="17"/>
      <c r="X21" s="25"/>
      <c r="Y21" s="17"/>
      <c r="Z21" s="25"/>
      <c r="AA21" s="17"/>
      <c r="AB21" s="25"/>
      <c r="AC21" s="17"/>
    </row>
    <row r="22" spans="1:29" x14ac:dyDescent="0.25">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x14ac:dyDescent="0.25">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x14ac:dyDescent="0.25">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x14ac:dyDescent="0.25">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x14ac:dyDescent="0.25">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x14ac:dyDescent="0.25">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x14ac:dyDescent="0.25">
      <c r="A28" s="50" t="s">
        <v>377</v>
      </c>
      <c r="B28" s="25"/>
      <c r="C28" s="50" t="s">
        <v>445</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x14ac:dyDescent="0.25">
      <c r="A29" s="9" t="s">
        <v>377</v>
      </c>
      <c r="B29" s="25"/>
      <c r="C29" s="9" t="s">
        <v>235</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x14ac:dyDescent="0.25">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x14ac:dyDescent="0.25">
      <c r="A33" s="25"/>
      <c r="B33" s="25"/>
      <c r="C33" s="25"/>
      <c r="D33" s="25"/>
      <c r="E33" s="25"/>
      <c r="F33" s="25"/>
      <c r="G33" s="25"/>
      <c r="H33" s="25"/>
      <c r="I33" s="25"/>
      <c r="J33" s="1043" t="s">
        <v>446</v>
      </c>
      <c r="K33" s="1043"/>
      <c r="L33" s="25"/>
      <c r="M33" s="25"/>
      <c r="N33" s="25"/>
      <c r="O33" s="25"/>
      <c r="P33" s="25"/>
      <c r="Q33" s="25"/>
      <c r="R33" s="25"/>
      <c r="S33" s="25"/>
      <c r="T33" s="25"/>
      <c r="U33" s="25"/>
      <c r="V33" s="25"/>
      <c r="W33" s="25"/>
      <c r="X33" s="25"/>
      <c r="Y33" s="25"/>
      <c r="Z33" s="25"/>
      <c r="AA33" s="25"/>
      <c r="AB33" s="25"/>
      <c r="AC33" s="25"/>
    </row>
    <row r="34" spans="1:29" x14ac:dyDescent="0.25">
      <c r="A34" s="25"/>
      <c r="B34" s="1040" t="s">
        <v>304</v>
      </c>
      <c r="C34" s="1041"/>
      <c r="D34" s="1042"/>
      <c r="E34" s="25"/>
      <c r="F34" s="1040" t="s">
        <v>447</v>
      </c>
      <c r="G34" s="1041"/>
      <c r="H34" s="1042"/>
      <c r="I34" s="25"/>
      <c r="J34" s="50" t="s">
        <v>448</v>
      </c>
      <c r="K34" s="50" t="s">
        <v>449</v>
      </c>
      <c r="L34" s="25"/>
      <c r="M34" s="1046" t="s">
        <v>450</v>
      </c>
      <c r="N34" s="1046"/>
      <c r="O34" s="25"/>
      <c r="P34" s="25"/>
      <c r="Q34" s="1044" t="s">
        <v>451</v>
      </c>
      <c r="R34" s="1044"/>
      <c r="S34" s="1044"/>
      <c r="T34" s="1044"/>
      <c r="U34" s="25"/>
      <c r="V34" s="25"/>
      <c r="W34" s="25"/>
      <c r="X34" s="25"/>
      <c r="Y34" s="25"/>
      <c r="Z34" s="25"/>
      <c r="AA34" s="25"/>
      <c r="AB34" s="25"/>
      <c r="AC34" s="25"/>
    </row>
    <row r="35" spans="1:29" x14ac:dyDescent="0.25">
      <c r="A35" s="25"/>
      <c r="B35" s="49" t="s">
        <v>95</v>
      </c>
      <c r="C35" s="50" t="s">
        <v>452</v>
      </c>
      <c r="D35" s="50" t="s">
        <v>453</v>
      </c>
      <c r="E35" s="25"/>
      <c r="F35" s="50" t="s">
        <v>452</v>
      </c>
      <c r="G35" s="49" t="s">
        <v>454</v>
      </c>
      <c r="H35" s="50" t="s">
        <v>455</v>
      </c>
      <c r="I35" s="25"/>
      <c r="J35" s="9" t="s">
        <v>212</v>
      </c>
      <c r="K35" s="7">
        <v>1</v>
      </c>
      <c r="L35" s="25"/>
      <c r="M35" s="50" t="s">
        <v>456</v>
      </c>
      <c r="N35" s="50" t="s">
        <v>455</v>
      </c>
      <c r="O35" s="25"/>
      <c r="P35" s="25"/>
      <c r="Q35" s="50" t="s">
        <v>457</v>
      </c>
      <c r="R35" s="50" t="s">
        <v>458</v>
      </c>
      <c r="S35" s="50" t="s">
        <v>459</v>
      </c>
      <c r="T35" s="50" t="s">
        <v>460</v>
      </c>
      <c r="U35" s="25"/>
      <c r="V35" s="25"/>
      <c r="W35" s="240" t="s">
        <v>461</v>
      </c>
      <c r="X35" s="241" t="s">
        <v>462</v>
      </c>
      <c r="Y35" s="25"/>
      <c r="Z35" s="25"/>
      <c r="AA35" s="25"/>
      <c r="AB35" s="25"/>
      <c r="AC35" s="25"/>
    </row>
    <row r="36" spans="1:29" ht="43.5" customHeight="1" x14ac:dyDescent="0.25">
      <c r="A36" s="25"/>
      <c r="B36" s="9" t="s">
        <v>332</v>
      </c>
      <c r="C36" s="9" t="s">
        <v>463</v>
      </c>
      <c r="D36" s="7">
        <v>1.1499999999999999</v>
      </c>
      <c r="E36" s="25"/>
      <c r="F36" s="9" t="s">
        <v>104</v>
      </c>
      <c r="G36" s="9" t="s">
        <v>464</v>
      </c>
      <c r="H36" s="7">
        <v>1.1499999999999999</v>
      </c>
      <c r="I36" s="25"/>
      <c r="J36" s="9" t="s">
        <v>214</v>
      </c>
      <c r="K36" s="7">
        <v>0.67</v>
      </c>
      <c r="L36" s="25"/>
      <c r="M36" s="15" t="s">
        <v>465</v>
      </c>
      <c r="N36" s="15">
        <v>1</v>
      </c>
      <c r="O36" s="25"/>
      <c r="P36" s="25"/>
      <c r="Q36" s="7" t="s">
        <v>466</v>
      </c>
      <c r="R36" s="7">
        <v>0.3</v>
      </c>
      <c r="S36" s="7">
        <f>R36*12</f>
        <v>3.5999999999999996</v>
      </c>
      <c r="T36" s="10">
        <f>3.14*(S36*S36)/10000</f>
        <v>4.0694399999999997E-3</v>
      </c>
      <c r="U36" s="25"/>
      <c r="V36" s="25"/>
      <c r="W36" s="17" t="s">
        <v>467</v>
      </c>
      <c r="X36" s="17" t="s">
        <v>468</v>
      </c>
      <c r="Y36" s="25"/>
      <c r="Z36" s="25"/>
      <c r="AA36" s="25"/>
      <c r="AB36" s="25"/>
      <c r="AC36" s="25"/>
    </row>
    <row r="37" spans="1:29" ht="55.5" customHeight="1" x14ac:dyDescent="0.25">
      <c r="A37" s="25"/>
      <c r="B37" s="9" t="s">
        <v>214</v>
      </c>
      <c r="C37" s="9" t="s">
        <v>469</v>
      </c>
      <c r="D37" s="7">
        <v>1.1000000000000001</v>
      </c>
      <c r="E37" s="25"/>
      <c r="F37" s="9" t="s">
        <v>124</v>
      </c>
      <c r="G37" s="9" t="s">
        <v>470</v>
      </c>
      <c r="H37" s="7">
        <v>1</v>
      </c>
      <c r="I37" s="25"/>
      <c r="J37" s="9" t="s">
        <v>332</v>
      </c>
      <c r="K37" s="7">
        <v>0.33</v>
      </c>
      <c r="L37" s="25"/>
      <c r="M37" s="15" t="s">
        <v>471</v>
      </c>
      <c r="N37" s="15">
        <v>0.75</v>
      </c>
      <c r="O37" s="25"/>
      <c r="P37" s="25"/>
      <c r="Q37" s="7" t="s">
        <v>214</v>
      </c>
      <c r="R37" s="7">
        <v>0.9</v>
      </c>
      <c r="S37" s="7">
        <f>R37*12</f>
        <v>10.8</v>
      </c>
      <c r="T37" s="10">
        <f>3.14*(S37*S37)/10000</f>
        <v>3.6624960000000005E-2</v>
      </c>
      <c r="U37" s="25"/>
      <c r="V37" s="25"/>
      <c r="W37" s="17" t="s">
        <v>472</v>
      </c>
      <c r="X37" s="17" t="s">
        <v>473</v>
      </c>
      <c r="Y37" s="25"/>
      <c r="Z37" s="25"/>
      <c r="AA37" s="25"/>
      <c r="AB37" s="25"/>
      <c r="AC37" s="25"/>
    </row>
    <row r="38" spans="1:29" ht="30" x14ac:dyDescent="0.25">
      <c r="A38" s="25"/>
      <c r="B38" s="16" t="s">
        <v>212</v>
      </c>
      <c r="C38" s="9" t="s">
        <v>474</v>
      </c>
      <c r="D38" s="7">
        <v>1</v>
      </c>
      <c r="E38" s="25"/>
      <c r="F38" s="9"/>
      <c r="G38" s="9"/>
      <c r="H38" s="7"/>
      <c r="I38" s="25"/>
      <c r="J38" s="9" t="s">
        <v>475</v>
      </c>
      <c r="K38" s="7">
        <v>0.1</v>
      </c>
      <c r="L38" s="25"/>
      <c r="M38" s="15" t="s">
        <v>476</v>
      </c>
      <c r="N38" s="15">
        <v>0.5</v>
      </c>
      <c r="O38" s="25"/>
      <c r="P38" s="25"/>
      <c r="Q38" s="7" t="s">
        <v>477</v>
      </c>
      <c r="R38" s="7">
        <v>1.3</v>
      </c>
      <c r="S38" s="7">
        <f>R38*12</f>
        <v>15.600000000000001</v>
      </c>
      <c r="T38" s="10">
        <f>3.14*(S38*S38)/10000</f>
        <v>7.6415040000000017E-2</v>
      </c>
      <c r="U38" s="25"/>
      <c r="V38" s="25"/>
      <c r="W38" s="17" t="s">
        <v>478</v>
      </c>
      <c r="X38" s="17" t="s">
        <v>479</v>
      </c>
      <c r="Y38" s="25"/>
      <c r="Z38" s="25"/>
      <c r="AA38" s="25"/>
      <c r="AB38" s="25"/>
      <c r="AC38" s="25"/>
    </row>
    <row r="39" spans="1:29" x14ac:dyDescent="0.25">
      <c r="A39" s="25"/>
      <c r="B39" s="16" t="s">
        <v>380</v>
      </c>
      <c r="C39" s="9" t="s">
        <v>480</v>
      </c>
      <c r="D39" s="7">
        <v>1</v>
      </c>
      <c r="E39" s="25"/>
      <c r="F39" s="25"/>
      <c r="G39" s="25"/>
      <c r="H39" s="25"/>
      <c r="I39" s="25"/>
      <c r="J39" s="25"/>
      <c r="K39" s="25"/>
      <c r="L39" s="25"/>
      <c r="M39" s="25"/>
      <c r="N39" s="25"/>
      <c r="O39" s="25"/>
      <c r="P39" s="25"/>
      <c r="Q39" s="25"/>
      <c r="R39" s="25"/>
      <c r="S39" s="25"/>
      <c r="T39" s="25"/>
      <c r="U39" s="25"/>
      <c r="V39" s="25"/>
      <c r="W39" s="17" t="s">
        <v>481</v>
      </c>
      <c r="X39" s="17" t="s">
        <v>482</v>
      </c>
      <c r="Y39" s="25"/>
      <c r="Z39" s="25"/>
      <c r="AA39" s="25"/>
      <c r="AB39" s="25"/>
      <c r="AC39" s="25"/>
    </row>
    <row r="40" spans="1:29" x14ac:dyDescent="0.25">
      <c r="A40" s="25"/>
      <c r="B40" s="25"/>
      <c r="C40" s="25"/>
      <c r="D40" s="25"/>
      <c r="E40" s="25"/>
      <c r="F40" s="25"/>
      <c r="G40" s="25"/>
      <c r="H40" s="25"/>
      <c r="I40" s="25"/>
      <c r="J40" s="25"/>
      <c r="K40" s="25"/>
      <c r="L40" s="25"/>
      <c r="M40" s="25"/>
      <c r="N40" s="25"/>
      <c r="O40" s="25"/>
      <c r="P40" s="25"/>
      <c r="Q40" s="25"/>
      <c r="R40" s="25"/>
      <c r="S40" s="25"/>
      <c r="T40" s="25"/>
      <c r="U40" s="25"/>
      <c r="V40" s="25"/>
      <c r="W40" s="17" t="s">
        <v>483</v>
      </c>
      <c r="X40" s="17" t="s">
        <v>484</v>
      </c>
      <c r="Y40" s="25"/>
      <c r="Z40" s="25"/>
      <c r="AA40" s="25"/>
      <c r="AB40" s="25"/>
      <c r="AC40" s="25"/>
    </row>
    <row r="41" spans="1:29" x14ac:dyDescent="0.25">
      <c r="A41" s="25"/>
      <c r="B41" s="25"/>
      <c r="C41" s="25"/>
      <c r="D41" s="25"/>
      <c r="E41" s="25"/>
      <c r="F41" s="25"/>
      <c r="G41" s="25"/>
      <c r="H41" s="25"/>
      <c r="I41" s="25"/>
      <c r="J41" s="25"/>
      <c r="K41" s="25"/>
      <c r="L41" s="25"/>
      <c r="M41" s="25"/>
      <c r="N41" s="25"/>
      <c r="O41" s="25"/>
      <c r="P41" s="25"/>
      <c r="Q41" s="25"/>
      <c r="R41" s="25"/>
      <c r="S41" s="25"/>
      <c r="T41" s="25"/>
      <c r="U41" s="25"/>
      <c r="V41" s="25"/>
      <c r="W41" s="17" t="s">
        <v>485</v>
      </c>
      <c r="X41" s="17" t="s">
        <v>486</v>
      </c>
      <c r="Y41" s="25"/>
      <c r="Z41" s="25"/>
      <c r="AA41" s="25"/>
      <c r="AB41" s="25"/>
      <c r="AC41" s="25"/>
    </row>
    <row r="42" spans="1:29" x14ac:dyDescent="0.25">
      <c r="A42" s="25"/>
      <c r="B42" s="25"/>
      <c r="C42" s="25"/>
      <c r="D42" s="25"/>
      <c r="E42" s="25"/>
      <c r="F42" s="25"/>
      <c r="G42" s="25"/>
      <c r="H42" s="25"/>
      <c r="I42" s="25"/>
      <c r="J42" s="25"/>
      <c r="K42" s="25"/>
      <c r="L42" s="25"/>
      <c r="M42" s="25"/>
      <c r="N42" s="25"/>
      <c r="O42" s="25"/>
      <c r="P42" s="25"/>
      <c r="Q42" s="25"/>
      <c r="R42" s="25"/>
      <c r="S42" s="25"/>
      <c r="T42" s="25"/>
      <c r="U42" s="25"/>
      <c r="V42" s="25"/>
      <c r="W42" s="17" t="s">
        <v>487</v>
      </c>
      <c r="X42" s="17" t="s">
        <v>488</v>
      </c>
      <c r="Y42" s="25"/>
      <c r="Z42" s="25"/>
      <c r="AA42" s="25"/>
      <c r="AB42" s="25"/>
      <c r="AC42" s="25"/>
    </row>
    <row r="43" spans="1:29" x14ac:dyDescent="0.25">
      <c r="A43" s="25"/>
      <c r="B43" s="25"/>
      <c r="C43" s="25"/>
      <c r="D43" s="25"/>
      <c r="E43" s="25"/>
      <c r="F43" s="25"/>
      <c r="G43" s="25"/>
      <c r="H43" s="25"/>
      <c r="I43" s="25"/>
      <c r="J43" s="25"/>
      <c r="K43" s="25"/>
      <c r="L43" s="25"/>
      <c r="M43" s="25"/>
      <c r="N43" s="25"/>
      <c r="O43" s="25"/>
      <c r="P43" s="25"/>
      <c r="Q43" s="25"/>
      <c r="R43" s="25"/>
      <c r="S43" s="25"/>
      <c r="T43" s="25"/>
      <c r="U43" s="25"/>
      <c r="V43" s="25"/>
      <c r="W43" s="17" t="s">
        <v>489</v>
      </c>
      <c r="X43" s="17" t="s">
        <v>490</v>
      </c>
      <c r="Y43" s="25"/>
      <c r="Z43" s="25"/>
      <c r="AA43" s="25"/>
      <c r="AB43" s="25"/>
      <c r="AC43" s="25"/>
    </row>
    <row r="44" spans="1:29" x14ac:dyDescent="0.25">
      <c r="A44" s="25"/>
      <c r="B44" s="25"/>
      <c r="C44" s="25"/>
      <c r="D44" s="25"/>
      <c r="E44" s="25"/>
      <c r="F44" s="25"/>
      <c r="G44" s="25"/>
      <c r="H44" s="25"/>
      <c r="I44" s="25"/>
      <c r="J44" s="25"/>
      <c r="K44" s="25"/>
      <c r="L44" s="25"/>
      <c r="M44" s="25"/>
      <c r="N44" s="25"/>
      <c r="O44" s="25"/>
      <c r="P44" s="25"/>
      <c r="Q44" s="25"/>
      <c r="R44" s="25"/>
      <c r="S44" s="25"/>
      <c r="T44" s="25"/>
      <c r="U44" s="25"/>
      <c r="V44" s="25"/>
      <c r="W44" s="17" t="s">
        <v>491</v>
      </c>
      <c r="X44" s="17" t="s">
        <v>492</v>
      </c>
      <c r="Y44" s="25"/>
      <c r="Z44" s="25"/>
      <c r="AA44" s="25"/>
      <c r="AB44" s="25"/>
      <c r="AC44" s="25"/>
    </row>
    <row r="45" spans="1:29" ht="28.5" customHeight="1" x14ac:dyDescent="0.45">
      <c r="A45" s="25"/>
      <c r="B45" s="964" t="s">
        <v>493</v>
      </c>
      <c r="C45" s="1038"/>
      <c r="D45" s="1039"/>
      <c r="E45" s="25"/>
      <c r="F45" s="964" t="s">
        <v>494</v>
      </c>
      <c r="G45" s="1039"/>
      <c r="H45" s="25"/>
      <c r="I45" s="1045" t="s">
        <v>495</v>
      </c>
      <c r="J45" s="1045"/>
      <c r="K45" s="1045"/>
      <c r="L45" s="25"/>
      <c r="M45" s="1044" t="s">
        <v>102</v>
      </c>
      <c r="N45" s="1044"/>
      <c r="O45" s="1044"/>
      <c r="P45" s="1044"/>
      <c r="Q45" s="25"/>
      <c r="R45" s="25"/>
      <c r="S45" s="964" t="s">
        <v>496</v>
      </c>
      <c r="T45" s="1038"/>
      <c r="U45" s="1039"/>
      <c r="V45" s="25"/>
      <c r="W45" s="17" t="s">
        <v>497</v>
      </c>
      <c r="X45" s="17" t="s">
        <v>498</v>
      </c>
      <c r="Y45" s="25"/>
      <c r="Z45" s="25"/>
      <c r="AA45" s="25"/>
      <c r="AB45" s="25"/>
      <c r="AC45" s="25"/>
    </row>
    <row r="46" spans="1:29" ht="60" x14ac:dyDescent="0.25">
      <c r="A46" s="25"/>
      <c r="B46" s="49" t="s">
        <v>499</v>
      </c>
      <c r="C46" s="49" t="s">
        <v>500</v>
      </c>
      <c r="D46" s="49" t="s">
        <v>501</v>
      </c>
      <c r="E46" s="25"/>
      <c r="F46" s="49" t="s">
        <v>502</v>
      </c>
      <c r="G46" s="49" t="s">
        <v>503</v>
      </c>
      <c r="H46" s="25"/>
      <c r="I46" s="49" t="s">
        <v>504</v>
      </c>
      <c r="J46" s="49" t="s">
        <v>505</v>
      </c>
      <c r="K46" s="49" t="s">
        <v>506</v>
      </c>
      <c r="L46" s="25"/>
      <c r="M46" s="50" t="s">
        <v>457</v>
      </c>
      <c r="N46" s="50" t="s">
        <v>458</v>
      </c>
      <c r="O46" s="50" t="s">
        <v>459</v>
      </c>
      <c r="P46" s="50" t="s">
        <v>507</v>
      </c>
      <c r="Q46" s="25"/>
      <c r="R46" s="25"/>
      <c r="S46" s="49" t="s">
        <v>499</v>
      </c>
      <c r="T46" s="49" t="s">
        <v>500</v>
      </c>
      <c r="U46" s="49" t="s">
        <v>501</v>
      </c>
      <c r="V46" s="25"/>
      <c r="W46" s="17" t="s">
        <v>508</v>
      </c>
      <c r="X46" s="17" t="s">
        <v>509</v>
      </c>
      <c r="Y46" s="25"/>
      <c r="Z46" s="25"/>
      <c r="AA46" s="25"/>
      <c r="AB46" s="25"/>
      <c r="AC46" s="25"/>
    </row>
    <row r="47" spans="1:29" ht="60" x14ac:dyDescent="0.25">
      <c r="A47" s="25"/>
      <c r="B47" s="7" t="s">
        <v>214</v>
      </c>
      <c r="C47" s="7">
        <v>4</v>
      </c>
      <c r="D47" s="21" t="s">
        <v>306</v>
      </c>
      <c r="E47" s="25"/>
      <c r="F47" s="7" t="s">
        <v>396</v>
      </c>
      <c r="G47" s="7">
        <v>3</v>
      </c>
      <c r="H47" s="25"/>
      <c r="I47" s="23">
        <v>0</v>
      </c>
      <c r="J47" s="23">
        <v>100</v>
      </c>
      <c r="K47" s="24">
        <v>1</v>
      </c>
      <c r="L47" s="25"/>
      <c r="M47" s="7" t="s">
        <v>466</v>
      </c>
      <c r="N47" s="7">
        <v>0.3</v>
      </c>
      <c r="O47" s="7">
        <f>N47*12</f>
        <v>3.5999999999999996</v>
      </c>
      <c r="P47" s="10">
        <f>3.14*(O47*O47)</f>
        <v>40.694399999999995</v>
      </c>
      <c r="Q47" s="25"/>
      <c r="R47" s="25"/>
      <c r="S47" s="7" t="s">
        <v>214</v>
      </c>
      <c r="T47" s="7">
        <v>4</v>
      </c>
      <c r="U47" s="9" t="s">
        <v>306</v>
      </c>
      <c r="V47" s="25"/>
      <c r="W47" s="17" t="s">
        <v>510</v>
      </c>
      <c r="X47" s="17" t="s">
        <v>511</v>
      </c>
      <c r="Y47" s="25"/>
      <c r="Z47" s="25"/>
      <c r="AA47" s="25"/>
      <c r="AB47" s="25"/>
      <c r="AC47" s="25"/>
    </row>
    <row r="48" spans="1:29" ht="60" x14ac:dyDescent="0.25">
      <c r="A48" s="25"/>
      <c r="B48" s="7" t="s">
        <v>212</v>
      </c>
      <c r="C48" s="7">
        <v>2</v>
      </c>
      <c r="D48" s="21" t="s">
        <v>311</v>
      </c>
      <c r="E48" s="25"/>
      <c r="F48" s="7" t="s">
        <v>123</v>
      </c>
      <c r="G48" s="7">
        <v>2</v>
      </c>
      <c r="H48" s="25"/>
      <c r="I48" s="23">
        <v>1</v>
      </c>
      <c r="J48" s="23">
        <v>96.5</v>
      </c>
      <c r="K48" s="24">
        <v>0.96499999999999997</v>
      </c>
      <c r="L48" s="25"/>
      <c r="M48" s="7" t="s">
        <v>214</v>
      </c>
      <c r="N48" s="7">
        <v>0.6</v>
      </c>
      <c r="O48" s="7">
        <v>7.2</v>
      </c>
      <c r="P48" s="10">
        <f>3.14*(O48*O48)</f>
        <v>162.77760000000001</v>
      </c>
      <c r="Q48" s="25"/>
      <c r="R48" s="25"/>
      <c r="S48" s="7" t="s">
        <v>212</v>
      </c>
      <c r="T48" s="7">
        <v>2</v>
      </c>
      <c r="U48" s="9" t="s">
        <v>311</v>
      </c>
      <c r="V48" s="25"/>
      <c r="W48" s="17" t="s">
        <v>512</v>
      </c>
      <c r="X48" s="17" t="s">
        <v>513</v>
      </c>
      <c r="Y48" s="25"/>
      <c r="Z48" s="25"/>
      <c r="AA48" s="25"/>
      <c r="AB48" s="25"/>
      <c r="AC48" s="25"/>
    </row>
    <row r="49" spans="1:29" ht="30" x14ac:dyDescent="0.25">
      <c r="A49" s="25"/>
      <c r="B49" s="7" t="s">
        <v>340</v>
      </c>
      <c r="C49" s="7">
        <v>0</v>
      </c>
      <c r="D49" s="21" t="s">
        <v>341</v>
      </c>
      <c r="E49" s="25"/>
      <c r="F49" s="9" t="s">
        <v>397</v>
      </c>
      <c r="G49" s="7">
        <v>1</v>
      </c>
      <c r="H49" s="25"/>
      <c r="I49" s="23">
        <v>2</v>
      </c>
      <c r="J49" s="23">
        <v>93.122500000000002</v>
      </c>
      <c r="K49" s="24">
        <v>0.93122499999999997</v>
      </c>
      <c r="L49" s="25"/>
      <c r="M49" s="7" t="s">
        <v>477</v>
      </c>
      <c r="N49" s="7">
        <v>0.9</v>
      </c>
      <c r="O49" s="7">
        <v>10.8</v>
      </c>
      <c r="P49" s="10">
        <f>3.14*(O49*O49)</f>
        <v>366.24960000000004</v>
      </c>
      <c r="Q49" s="25"/>
      <c r="R49" s="25"/>
      <c r="S49" s="7" t="s">
        <v>340</v>
      </c>
      <c r="T49" s="7">
        <v>1</v>
      </c>
      <c r="U49" s="9" t="s">
        <v>341</v>
      </c>
      <c r="V49" s="25"/>
      <c r="W49" s="17" t="s">
        <v>514</v>
      </c>
      <c r="X49" s="17" t="s">
        <v>515</v>
      </c>
      <c r="Y49" s="25"/>
      <c r="Z49" s="25"/>
      <c r="AA49" s="25"/>
      <c r="AB49" s="25"/>
      <c r="AC49" s="25"/>
    </row>
    <row r="50" spans="1:29" ht="60" x14ac:dyDescent="0.25">
      <c r="A50" s="25"/>
      <c r="B50" s="7" t="s">
        <v>332</v>
      </c>
      <c r="C50" s="7">
        <v>6</v>
      </c>
      <c r="D50" s="21" t="s">
        <v>306</v>
      </c>
      <c r="E50" s="25"/>
      <c r="F50" s="9" t="s">
        <v>398</v>
      </c>
      <c r="G50" s="7">
        <v>1</v>
      </c>
      <c r="H50" s="25"/>
      <c r="I50" s="23">
        <v>3</v>
      </c>
      <c r="J50" s="23">
        <v>89.863212500000003</v>
      </c>
      <c r="K50" s="24">
        <v>0.898632125</v>
      </c>
      <c r="L50" s="25"/>
      <c r="M50" s="7" t="s">
        <v>516</v>
      </c>
      <c r="N50" s="7">
        <v>1.3</v>
      </c>
      <c r="O50" s="7">
        <v>15.6</v>
      </c>
      <c r="P50" s="10">
        <f>3.14*(O50*O50)</f>
        <v>764.15039999999999</v>
      </c>
      <c r="Q50" s="25"/>
      <c r="R50" s="25"/>
      <c r="S50" s="7" t="s">
        <v>332</v>
      </c>
      <c r="T50" s="7">
        <v>6</v>
      </c>
      <c r="U50" s="9" t="s">
        <v>306</v>
      </c>
      <c r="V50" s="25"/>
      <c r="W50" s="17" t="s">
        <v>517</v>
      </c>
      <c r="X50" s="17" t="s">
        <v>518</v>
      </c>
      <c r="Y50" s="25"/>
      <c r="Z50" s="25"/>
      <c r="AA50" s="25"/>
      <c r="AB50" s="25"/>
      <c r="AC50" s="25"/>
    </row>
    <row r="51" spans="1:29" x14ac:dyDescent="0.25">
      <c r="A51" s="25"/>
      <c r="B51" s="25"/>
      <c r="C51" s="25"/>
      <c r="D51" s="25"/>
      <c r="E51" s="25"/>
      <c r="F51" s="7" t="s">
        <v>399</v>
      </c>
      <c r="G51" s="7">
        <v>0</v>
      </c>
      <c r="H51" s="25"/>
      <c r="I51" s="23">
        <v>4</v>
      </c>
      <c r="J51" s="23">
        <v>86.718000059999994</v>
      </c>
      <c r="K51" s="24">
        <v>0.86718000059999989</v>
      </c>
      <c r="L51" s="25"/>
      <c r="M51" s="25"/>
      <c r="N51" s="25"/>
      <c r="O51" s="25"/>
      <c r="P51" s="25"/>
      <c r="Q51" s="25"/>
      <c r="R51" s="25"/>
      <c r="S51" s="25"/>
      <c r="T51" s="25"/>
      <c r="U51" s="25"/>
      <c r="V51" s="25"/>
      <c r="W51" s="17" t="s">
        <v>519</v>
      </c>
      <c r="X51" s="17"/>
      <c r="Y51" s="25"/>
      <c r="Z51" s="25"/>
      <c r="AA51" s="25"/>
      <c r="AB51" s="25"/>
      <c r="AC51" s="25"/>
    </row>
    <row r="52" spans="1:29" x14ac:dyDescent="0.25">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520</v>
      </c>
      <c r="X52" s="17"/>
      <c r="Y52" s="25"/>
      <c r="Z52" s="25"/>
      <c r="AA52" s="25"/>
      <c r="AB52" s="25"/>
      <c r="AC52" s="25"/>
    </row>
    <row r="53" spans="1:29" x14ac:dyDescent="0.25">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521</v>
      </c>
      <c r="X53" s="17"/>
      <c r="Y53" s="25"/>
      <c r="Z53" s="25"/>
      <c r="AA53" s="25"/>
      <c r="AB53" s="25"/>
      <c r="AC53" s="25"/>
    </row>
    <row r="54" spans="1:29" x14ac:dyDescent="0.25">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522</v>
      </c>
      <c r="X54" s="17"/>
      <c r="Y54" s="25"/>
      <c r="Z54" s="25"/>
      <c r="AA54" s="25"/>
      <c r="AB54" s="25"/>
      <c r="AC54" s="25"/>
    </row>
    <row r="55" spans="1:29" ht="14.65" customHeight="1" x14ac:dyDescent="0.25">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523</v>
      </c>
      <c r="X55" s="17"/>
      <c r="Y55" s="25"/>
      <c r="Z55" s="25"/>
      <c r="AA55" s="25"/>
      <c r="AB55" s="25"/>
      <c r="AC55" s="25"/>
    </row>
    <row r="56" spans="1:29" x14ac:dyDescent="0.25">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524</v>
      </c>
      <c r="X56" s="17"/>
      <c r="Y56" s="25"/>
      <c r="Z56" s="25"/>
      <c r="AA56" s="25"/>
      <c r="AB56" s="25"/>
      <c r="AC56" s="25"/>
    </row>
    <row r="57" spans="1:29" x14ac:dyDescent="0.25">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525</v>
      </c>
      <c r="X57" s="17"/>
      <c r="Y57" s="25"/>
      <c r="Z57" s="25"/>
      <c r="AA57" s="25"/>
      <c r="AB57" s="25"/>
      <c r="AC57" s="25"/>
    </row>
    <row r="58" spans="1:29" x14ac:dyDescent="0.25">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526</v>
      </c>
      <c r="X58" s="17"/>
      <c r="Y58" s="25"/>
      <c r="Z58" s="25"/>
      <c r="AA58" s="25"/>
      <c r="AB58" s="25"/>
      <c r="AC58" s="25"/>
    </row>
    <row r="59" spans="1:29" x14ac:dyDescent="0.25">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527</v>
      </c>
      <c r="X59" s="17"/>
      <c r="Y59" s="25"/>
      <c r="Z59" s="25"/>
      <c r="AA59" s="25"/>
      <c r="AB59" s="25"/>
      <c r="AC59" s="25"/>
    </row>
    <row r="60" spans="1:29" x14ac:dyDescent="0.25">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528</v>
      </c>
      <c r="X60" s="17"/>
      <c r="Y60" s="25"/>
      <c r="Z60" s="25"/>
      <c r="AA60" s="25"/>
      <c r="AB60" s="25"/>
      <c r="AC60" s="25"/>
    </row>
    <row r="61" spans="1:29" x14ac:dyDescent="0.25">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529</v>
      </c>
      <c r="X61" s="17"/>
      <c r="Y61" s="25"/>
      <c r="Z61" s="25"/>
      <c r="AA61" s="25"/>
      <c r="AB61" s="25"/>
      <c r="AC61" s="25"/>
    </row>
    <row r="62" spans="1:29" x14ac:dyDescent="0.25">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530</v>
      </c>
      <c r="X62" s="17"/>
      <c r="Y62" s="25"/>
      <c r="Z62" s="25"/>
      <c r="AA62" s="25"/>
      <c r="AB62" s="25"/>
      <c r="AC62" s="25"/>
    </row>
    <row r="63" spans="1:29" x14ac:dyDescent="0.25">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531</v>
      </c>
      <c r="X63" s="17"/>
      <c r="Y63" s="25"/>
      <c r="Z63" s="25"/>
      <c r="AA63" s="25"/>
      <c r="AB63" s="25"/>
      <c r="AC63" s="25"/>
    </row>
    <row r="64" spans="1:29" x14ac:dyDescent="0.25">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532</v>
      </c>
      <c r="X64" s="17"/>
      <c r="Y64" s="25"/>
      <c r="Z64" s="25"/>
      <c r="AA64" s="25"/>
      <c r="AB64" s="25"/>
      <c r="AC64" s="25"/>
    </row>
    <row r="65" spans="1:29" x14ac:dyDescent="0.25">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533</v>
      </c>
      <c r="X65" s="17"/>
      <c r="Y65" s="25"/>
      <c r="Z65" s="25"/>
      <c r="AA65" s="25"/>
      <c r="AB65" s="25"/>
      <c r="AC65" s="25"/>
    </row>
    <row r="66" spans="1:29" x14ac:dyDescent="0.25">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534</v>
      </c>
      <c r="X66" s="17"/>
      <c r="Y66" s="25"/>
      <c r="Z66" s="25"/>
      <c r="AA66" s="25"/>
      <c r="AB66" s="25"/>
      <c r="AC66" s="25"/>
    </row>
    <row r="67" spans="1:29" x14ac:dyDescent="0.25">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535</v>
      </c>
      <c r="X67" s="17"/>
      <c r="Y67" s="25"/>
      <c r="Z67" s="25"/>
      <c r="AA67" s="25"/>
      <c r="AB67" s="25"/>
      <c r="AC67" s="25"/>
    </row>
    <row r="68" spans="1:29" x14ac:dyDescent="0.25">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536</v>
      </c>
      <c r="X68" s="17"/>
      <c r="Y68" s="25"/>
      <c r="Z68" s="25"/>
      <c r="AA68" s="25"/>
      <c r="AB68" s="25"/>
      <c r="AC68" s="25"/>
    </row>
    <row r="69" spans="1:29" x14ac:dyDescent="0.25">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537</v>
      </c>
      <c r="X69" s="17"/>
      <c r="Y69" s="25"/>
      <c r="Z69" s="25"/>
      <c r="AA69" s="25"/>
      <c r="AB69" s="25"/>
      <c r="AC69" s="25"/>
    </row>
    <row r="70" spans="1:29" x14ac:dyDescent="0.25">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538</v>
      </c>
      <c r="X70" s="17"/>
      <c r="Y70" s="25"/>
      <c r="Z70" s="25"/>
      <c r="AA70" s="25"/>
      <c r="AB70" s="25"/>
      <c r="AC70" s="25"/>
    </row>
    <row r="71" spans="1:29" x14ac:dyDescent="0.25">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539</v>
      </c>
      <c r="X71" s="17"/>
      <c r="Y71" s="25"/>
      <c r="Z71" s="25"/>
      <c r="AA71" s="25"/>
      <c r="AB71" s="25"/>
      <c r="AC71" s="25"/>
    </row>
    <row r="72" spans="1:29" x14ac:dyDescent="0.25">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540</v>
      </c>
      <c r="X72" s="17"/>
      <c r="Y72" s="25"/>
      <c r="Z72" s="25"/>
      <c r="AA72" s="25"/>
      <c r="AB72" s="25"/>
      <c r="AC72" s="25"/>
    </row>
    <row r="73" spans="1:29" x14ac:dyDescent="0.25">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541</v>
      </c>
      <c r="X73" s="17"/>
      <c r="Y73" s="25"/>
      <c r="Z73" s="25"/>
      <c r="AA73" s="25"/>
      <c r="AB73" s="25"/>
      <c r="AC73" s="25"/>
    </row>
    <row r="74" spans="1:29" x14ac:dyDescent="0.25">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542</v>
      </c>
      <c r="X74" s="17"/>
      <c r="Y74" s="25"/>
      <c r="Z74" s="25"/>
      <c r="AA74" s="25"/>
      <c r="AB74" s="25"/>
      <c r="AC74" s="25"/>
    </row>
    <row r="75" spans="1:29" x14ac:dyDescent="0.25">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543</v>
      </c>
      <c r="X75" s="17"/>
      <c r="Y75" s="25"/>
      <c r="Z75" s="25"/>
      <c r="AA75" s="25"/>
      <c r="AB75" s="25"/>
      <c r="AC75" s="25"/>
    </row>
    <row r="76" spans="1:29" x14ac:dyDescent="0.25">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544</v>
      </c>
      <c r="X76" s="17"/>
      <c r="Y76" s="25"/>
      <c r="Z76" s="25"/>
      <c r="AA76" s="25"/>
      <c r="AB76" s="25"/>
      <c r="AC76" s="25"/>
    </row>
    <row r="77" spans="1:29" x14ac:dyDescent="0.25">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545</v>
      </c>
      <c r="X77" s="17"/>
      <c r="Y77" s="25"/>
      <c r="Z77" s="25"/>
      <c r="AA77" s="25"/>
      <c r="AB77" s="25"/>
      <c r="AC77" s="25"/>
    </row>
    <row r="78" spans="1:29" x14ac:dyDescent="0.25">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546</v>
      </c>
      <c r="X78" s="17"/>
      <c r="Y78" s="25"/>
      <c r="Z78" s="25"/>
      <c r="AA78" s="25"/>
      <c r="AB78" s="25"/>
      <c r="AC78" s="25"/>
    </row>
    <row r="79" spans="1:29" x14ac:dyDescent="0.25">
      <c r="A79" s="25"/>
      <c r="B79" s="25"/>
      <c r="C79" s="25"/>
      <c r="D79" s="25"/>
      <c r="E79" s="25"/>
      <c r="F79" s="25"/>
      <c r="G79" s="25"/>
      <c r="H79" s="25"/>
      <c r="I79" s="23" t="s">
        <v>418</v>
      </c>
      <c r="J79" s="19">
        <v>31.979673609999999</v>
      </c>
      <c r="K79" s="24">
        <v>0.31979673609999998</v>
      </c>
      <c r="L79" s="25"/>
      <c r="M79" s="25"/>
      <c r="N79" s="25"/>
      <c r="O79" s="25"/>
      <c r="P79" s="25"/>
      <c r="Q79" s="25"/>
      <c r="R79" s="25"/>
      <c r="S79" s="25"/>
      <c r="T79" s="25"/>
      <c r="U79" s="25"/>
      <c r="V79" s="25"/>
      <c r="W79" s="17" t="s">
        <v>547</v>
      </c>
      <c r="X79" s="17"/>
      <c r="Y79" s="25"/>
      <c r="Z79" s="25"/>
      <c r="AA79" s="25"/>
      <c r="AB79" s="25"/>
      <c r="AC79" s="25"/>
    </row>
    <row r="80" spans="1:29" x14ac:dyDescent="0.25">
      <c r="A80" s="25"/>
      <c r="B80" s="25"/>
      <c r="C80" s="25"/>
      <c r="D80" s="25"/>
      <c r="E80" s="25"/>
      <c r="F80" s="25"/>
      <c r="G80" s="25"/>
      <c r="H80" s="25"/>
      <c r="I80" s="9" t="s">
        <v>401</v>
      </c>
      <c r="J80" s="9" t="s">
        <v>380</v>
      </c>
      <c r="K80" s="9" t="s">
        <v>380</v>
      </c>
      <c r="L80" s="25"/>
      <c r="M80" s="25"/>
      <c r="N80" s="25"/>
      <c r="O80" s="25"/>
      <c r="P80" s="25"/>
      <c r="Q80" s="25"/>
      <c r="R80" s="25"/>
      <c r="S80" s="25"/>
      <c r="T80" s="25"/>
      <c r="U80" s="25"/>
      <c r="V80" s="25"/>
      <c r="W80" s="17" t="s">
        <v>548</v>
      </c>
      <c r="X80" s="17"/>
      <c r="Y80" s="25"/>
      <c r="Z80" s="25"/>
      <c r="AA80" s="25"/>
      <c r="AB80" s="25"/>
      <c r="AC80" s="25"/>
    </row>
    <row r="81" spans="1:29" x14ac:dyDescent="0.25">
      <c r="A81" s="25"/>
      <c r="B81" s="25"/>
      <c r="C81" s="25"/>
      <c r="D81" s="25"/>
      <c r="E81" s="25"/>
      <c r="F81" s="25"/>
      <c r="G81" s="25"/>
      <c r="H81" s="25"/>
      <c r="I81" s="25"/>
      <c r="J81" s="25"/>
      <c r="K81" s="25"/>
      <c r="L81" s="25"/>
      <c r="M81" s="25"/>
      <c r="N81" s="25"/>
      <c r="O81" s="25"/>
      <c r="P81" s="25"/>
      <c r="Q81" s="25"/>
      <c r="R81" s="25"/>
      <c r="S81" s="25"/>
      <c r="T81" s="25"/>
      <c r="U81" s="25"/>
      <c r="V81" s="25"/>
      <c r="W81" s="17" t="s">
        <v>549</v>
      </c>
      <c r="X81" s="17"/>
      <c r="Y81" s="25"/>
      <c r="Z81" s="25"/>
      <c r="AA81" s="25"/>
      <c r="AB81" s="25"/>
      <c r="AC81" s="25"/>
    </row>
    <row r="82" spans="1:29" x14ac:dyDescent="0.25">
      <c r="A82" s="25"/>
      <c r="B82" s="25"/>
      <c r="C82" s="25"/>
      <c r="D82" s="25"/>
      <c r="E82" s="25"/>
      <c r="F82" s="25"/>
      <c r="G82" s="25"/>
      <c r="H82" s="25"/>
      <c r="I82" s="25"/>
      <c r="J82" s="25"/>
      <c r="K82" s="25"/>
      <c r="L82" s="25"/>
      <c r="M82" s="25"/>
      <c r="N82" s="25"/>
      <c r="O82" s="25"/>
      <c r="P82" s="25"/>
      <c r="Q82" s="25"/>
      <c r="R82" s="25"/>
      <c r="S82" s="25"/>
      <c r="T82" s="25"/>
      <c r="U82" s="25"/>
      <c r="V82" s="25"/>
      <c r="W82" s="17" t="s">
        <v>550</v>
      </c>
      <c r="X82" s="17"/>
      <c r="Y82" s="25"/>
      <c r="Z82" s="25"/>
      <c r="AA82" s="25"/>
      <c r="AB82" s="25"/>
      <c r="AC82" s="25"/>
    </row>
    <row r="83" spans="1:29" x14ac:dyDescent="0.25">
      <c r="A83" s="25"/>
      <c r="B83" s="25"/>
      <c r="C83" s="25"/>
      <c r="D83" s="25"/>
      <c r="E83" s="25"/>
      <c r="F83" s="25"/>
      <c r="G83" s="25"/>
      <c r="H83" s="25"/>
      <c r="I83" s="25"/>
      <c r="J83" s="25"/>
      <c r="K83" s="25"/>
      <c r="L83" s="25"/>
      <c r="M83" s="25"/>
      <c r="N83" s="25"/>
      <c r="O83" s="25"/>
      <c r="P83" s="25"/>
      <c r="Q83" s="25"/>
      <c r="R83" s="25"/>
      <c r="S83" s="25"/>
      <c r="T83" s="25"/>
      <c r="U83" s="25"/>
      <c r="V83" s="25"/>
      <c r="W83" s="17" t="s">
        <v>551</v>
      </c>
      <c r="X83" s="17"/>
      <c r="Y83" s="25"/>
      <c r="Z83" s="25"/>
      <c r="AA83" s="25"/>
      <c r="AB83" s="25"/>
      <c r="AC83" s="25"/>
    </row>
    <row r="84" spans="1:29" x14ac:dyDescent="0.25">
      <c r="A84" s="25"/>
      <c r="B84" s="25"/>
      <c r="C84" s="25"/>
      <c r="D84" s="25"/>
      <c r="E84" s="25"/>
      <c r="F84" s="25"/>
      <c r="G84" s="25"/>
      <c r="H84" s="25"/>
      <c r="I84" s="25"/>
      <c r="J84" s="25"/>
      <c r="K84" s="25"/>
      <c r="L84" s="25"/>
      <c r="M84" s="25"/>
      <c r="N84" s="25"/>
      <c r="O84" s="25"/>
      <c r="P84" s="25"/>
      <c r="Q84" s="25"/>
      <c r="R84" s="25"/>
      <c r="S84" s="25"/>
      <c r="T84" s="25"/>
      <c r="U84" s="25"/>
      <c r="V84" s="25"/>
      <c r="W84" s="17" t="s">
        <v>552</v>
      </c>
      <c r="X84" s="17"/>
      <c r="Y84" s="25"/>
      <c r="Z84" s="25"/>
      <c r="AA84" s="25"/>
      <c r="AB84" s="25"/>
      <c r="AC84" s="25"/>
    </row>
    <row r="85" spans="1:29" x14ac:dyDescent="0.25">
      <c r="A85" s="25"/>
      <c r="B85" s="25"/>
      <c r="C85" s="25"/>
      <c r="D85" s="25"/>
      <c r="E85" s="25"/>
      <c r="F85" s="25"/>
      <c r="G85" s="25"/>
      <c r="H85" s="25"/>
      <c r="I85" s="25"/>
      <c r="J85" s="25"/>
      <c r="K85" s="25"/>
      <c r="L85" s="25"/>
      <c r="M85" s="25"/>
      <c r="N85" s="25"/>
      <c r="O85" s="25"/>
      <c r="P85" s="25"/>
      <c r="Q85" s="25"/>
      <c r="R85" s="25"/>
      <c r="S85" s="25"/>
      <c r="T85" s="25"/>
      <c r="U85" s="25"/>
      <c r="V85" s="25"/>
      <c r="W85" s="17" t="s">
        <v>553</v>
      </c>
      <c r="X85" s="17"/>
      <c r="Y85" s="25"/>
      <c r="Z85" s="25"/>
      <c r="AA85" s="25"/>
      <c r="AB85" s="25"/>
      <c r="AC85" s="25"/>
    </row>
    <row r="86" spans="1:29" x14ac:dyDescent="0.25">
      <c r="A86" s="25"/>
      <c r="B86" s="25"/>
      <c r="C86" s="25"/>
      <c r="D86" s="25"/>
      <c r="E86" s="25"/>
      <c r="F86" s="25"/>
      <c r="G86" s="25"/>
      <c r="H86" s="25"/>
      <c r="I86" s="25"/>
      <c r="J86" s="25"/>
      <c r="K86" s="25"/>
      <c r="L86" s="25"/>
      <c r="M86" s="25"/>
      <c r="N86" s="25"/>
      <c r="O86" s="25"/>
      <c r="P86" s="25"/>
      <c r="Q86" s="25"/>
      <c r="R86" s="25"/>
      <c r="S86" s="25"/>
      <c r="T86" s="25"/>
      <c r="U86" s="25"/>
      <c r="V86" s="25"/>
      <c r="W86" s="17" t="s">
        <v>554</v>
      </c>
      <c r="X86" s="17"/>
      <c r="Y86" s="25"/>
      <c r="Z86" s="25"/>
      <c r="AA86" s="25"/>
      <c r="AB86" s="25"/>
      <c r="AC86" s="25"/>
    </row>
    <row r="87" spans="1:29" x14ac:dyDescent="0.25">
      <c r="A87" s="25"/>
      <c r="B87" s="25"/>
      <c r="C87" s="25"/>
      <c r="D87" s="25"/>
      <c r="E87" s="25"/>
      <c r="F87" s="25"/>
      <c r="G87" s="25"/>
      <c r="H87" s="25"/>
      <c r="I87" s="25"/>
      <c r="J87" s="25"/>
      <c r="K87" s="25"/>
      <c r="L87" s="25"/>
      <c r="M87" s="25"/>
      <c r="N87" s="25"/>
      <c r="O87" s="25"/>
      <c r="P87" s="25"/>
      <c r="Q87" s="25"/>
      <c r="R87" s="25"/>
      <c r="S87" s="25"/>
      <c r="T87" s="25"/>
      <c r="U87" s="25"/>
      <c r="V87" s="25"/>
      <c r="W87" s="17" t="s">
        <v>555</v>
      </c>
      <c r="X87" s="17"/>
      <c r="Y87" s="25"/>
      <c r="Z87" s="25"/>
      <c r="AA87" s="25"/>
      <c r="AB87" s="25"/>
      <c r="AC87" s="25"/>
    </row>
    <row r="88" spans="1:29" x14ac:dyDescent="0.25">
      <c r="A88" s="25"/>
      <c r="B88" s="25"/>
      <c r="C88" s="25"/>
      <c r="D88" s="25"/>
      <c r="E88" s="25"/>
      <c r="F88" s="25"/>
      <c r="G88" s="25"/>
      <c r="H88" s="25"/>
      <c r="I88" s="25"/>
      <c r="J88" s="25"/>
      <c r="K88" s="25"/>
      <c r="L88" s="25"/>
      <c r="M88" s="25"/>
      <c r="N88" s="25"/>
      <c r="O88" s="25"/>
      <c r="P88" s="25"/>
      <c r="Q88" s="25"/>
      <c r="R88" s="25"/>
      <c r="S88" s="25"/>
      <c r="T88" s="25"/>
      <c r="U88" s="25"/>
      <c r="V88" s="25"/>
      <c r="W88" s="17" t="s">
        <v>556</v>
      </c>
      <c r="X88" s="17"/>
      <c r="Y88" s="25"/>
      <c r="Z88" s="25"/>
      <c r="AA88" s="25"/>
      <c r="AB88" s="25"/>
      <c r="AC88" s="25"/>
    </row>
    <row r="89" spans="1:29" x14ac:dyDescent="0.25">
      <c r="A89" s="25"/>
      <c r="B89" s="25"/>
      <c r="C89" s="25"/>
      <c r="D89" s="25"/>
      <c r="E89" s="25"/>
      <c r="F89" s="25"/>
      <c r="G89" s="25"/>
      <c r="H89" s="25"/>
      <c r="I89" s="25"/>
      <c r="J89" s="25"/>
      <c r="K89" s="25"/>
      <c r="L89" s="25"/>
      <c r="M89" s="25"/>
      <c r="N89" s="25"/>
      <c r="O89" s="25"/>
      <c r="P89" s="25"/>
      <c r="Q89" s="25"/>
      <c r="R89" s="25"/>
      <c r="S89" s="25"/>
      <c r="T89" s="25"/>
      <c r="U89" s="25"/>
      <c r="V89" s="25"/>
      <c r="W89" s="17" t="s">
        <v>557</v>
      </c>
      <c r="X89" s="17"/>
      <c r="Y89" s="25"/>
      <c r="Z89" s="25"/>
      <c r="AA89" s="25"/>
      <c r="AB89" s="25"/>
      <c r="AC89" s="25"/>
    </row>
    <row r="90" spans="1:29" x14ac:dyDescent="0.25">
      <c r="A90" s="25"/>
      <c r="B90" s="25"/>
      <c r="C90" s="25"/>
      <c r="D90" s="25"/>
      <c r="E90" s="25"/>
      <c r="F90" s="25"/>
      <c r="G90" s="25"/>
      <c r="H90" s="25"/>
      <c r="I90" s="25"/>
      <c r="J90" s="25"/>
      <c r="K90" s="25"/>
      <c r="L90" s="25"/>
      <c r="M90" s="25"/>
      <c r="N90" s="25"/>
      <c r="O90" s="25"/>
      <c r="P90" s="25"/>
      <c r="Q90" s="25"/>
      <c r="R90" s="25"/>
      <c r="S90" s="25"/>
      <c r="T90" s="25"/>
      <c r="U90" s="25"/>
      <c r="V90" s="25"/>
      <c r="W90" s="17" t="s">
        <v>558</v>
      </c>
      <c r="X90" s="17"/>
      <c r="Y90" s="25"/>
      <c r="Z90" s="25"/>
      <c r="AA90" s="25"/>
      <c r="AB90" s="25"/>
      <c r="AC90" s="25"/>
    </row>
    <row r="91" spans="1:29" x14ac:dyDescent="0.25">
      <c r="A91" s="25"/>
      <c r="B91" s="25"/>
      <c r="C91" s="25"/>
      <c r="D91" s="25"/>
      <c r="E91" s="25"/>
      <c r="F91" s="25"/>
      <c r="G91" s="25"/>
      <c r="H91" s="25"/>
      <c r="I91" s="25"/>
      <c r="J91" s="25"/>
      <c r="K91" s="25"/>
      <c r="L91" s="25"/>
      <c r="M91" s="25"/>
      <c r="N91" s="25"/>
      <c r="O91" s="25"/>
      <c r="P91" s="25"/>
      <c r="Q91" s="25"/>
      <c r="R91" s="25"/>
      <c r="S91" s="25"/>
      <c r="T91" s="25"/>
      <c r="U91" s="25"/>
      <c r="V91" s="25"/>
      <c r="W91" s="17" t="s">
        <v>559</v>
      </c>
      <c r="X91" s="17"/>
      <c r="Y91" s="25"/>
      <c r="Z91" s="25"/>
      <c r="AA91" s="25"/>
      <c r="AB91" s="25"/>
      <c r="AC91" s="25"/>
    </row>
    <row r="92" spans="1:29" x14ac:dyDescent="0.25">
      <c r="A92" s="25"/>
      <c r="B92" s="25"/>
      <c r="C92" s="25"/>
      <c r="D92" s="25"/>
      <c r="E92" s="25"/>
      <c r="F92" s="25"/>
      <c r="G92" s="25"/>
      <c r="H92" s="25"/>
      <c r="I92" s="25"/>
      <c r="J92" s="25"/>
      <c r="K92" s="25"/>
      <c r="L92" s="25"/>
      <c r="M92" s="25"/>
      <c r="N92" s="25"/>
      <c r="O92" s="25"/>
      <c r="P92" s="25"/>
      <c r="Q92" s="25"/>
      <c r="R92" s="25"/>
      <c r="S92" s="25"/>
      <c r="T92" s="25"/>
      <c r="U92" s="25"/>
      <c r="V92" s="25"/>
      <c r="W92" s="17" t="s">
        <v>560</v>
      </c>
      <c r="X92" s="17"/>
      <c r="Y92" s="25"/>
      <c r="Z92" s="25"/>
      <c r="AA92" s="25"/>
      <c r="AB92" s="25"/>
      <c r="AC92" s="25"/>
    </row>
    <row r="93" spans="1:29" x14ac:dyDescent="0.25">
      <c r="A93" s="25"/>
      <c r="B93" s="25"/>
      <c r="C93" s="25"/>
      <c r="D93" s="25"/>
      <c r="E93" s="25"/>
      <c r="F93" s="25"/>
      <c r="G93" s="25"/>
      <c r="H93" s="25"/>
      <c r="I93" s="25"/>
      <c r="J93" s="25"/>
      <c r="K93" s="25"/>
      <c r="L93" s="25"/>
      <c r="M93" s="25"/>
      <c r="N93" s="25"/>
      <c r="O93" s="25"/>
      <c r="P93" s="25"/>
      <c r="Q93" s="25"/>
      <c r="R93" s="25"/>
      <c r="S93" s="25"/>
      <c r="T93" s="25"/>
      <c r="U93" s="25"/>
      <c r="V93" s="25"/>
      <c r="W93" s="17" t="s">
        <v>561</v>
      </c>
      <c r="X93" s="17"/>
      <c r="Y93" s="25"/>
      <c r="Z93" s="25"/>
      <c r="AA93" s="25"/>
      <c r="AB93" s="25"/>
      <c r="AC93" s="25"/>
    </row>
    <row r="94" spans="1:29" x14ac:dyDescent="0.25">
      <c r="A94" s="25"/>
      <c r="B94" s="25"/>
      <c r="C94" s="25"/>
      <c r="D94" s="25"/>
      <c r="E94" s="25"/>
      <c r="F94" s="25"/>
      <c r="G94" s="25"/>
      <c r="H94" s="25"/>
      <c r="I94" s="25"/>
      <c r="J94" s="25"/>
      <c r="K94" s="25"/>
      <c r="L94" s="25"/>
      <c r="M94" s="25"/>
      <c r="N94" s="25"/>
      <c r="O94" s="25"/>
      <c r="P94" s="25"/>
      <c r="Q94" s="25"/>
      <c r="R94" s="25"/>
      <c r="S94" s="25"/>
      <c r="T94" s="25"/>
      <c r="U94" s="25"/>
      <c r="V94" s="25"/>
      <c r="W94" s="17" t="s">
        <v>562</v>
      </c>
      <c r="X94" s="17"/>
      <c r="Y94" s="25"/>
      <c r="Z94" s="25"/>
      <c r="AA94" s="25"/>
      <c r="AB94" s="25"/>
      <c r="AC94" s="25"/>
    </row>
    <row r="95" spans="1:29" x14ac:dyDescent="0.25">
      <c r="A95" s="25"/>
      <c r="B95" s="25"/>
      <c r="C95" s="25"/>
      <c r="D95" s="25"/>
      <c r="E95" s="25"/>
      <c r="F95" s="25"/>
      <c r="G95" s="25"/>
      <c r="H95" s="25"/>
      <c r="I95" s="25"/>
      <c r="J95" s="25"/>
      <c r="K95" s="25"/>
      <c r="L95" s="25"/>
      <c r="M95" s="25"/>
      <c r="N95" s="25"/>
      <c r="O95" s="25"/>
      <c r="P95" s="25"/>
      <c r="Q95" s="25"/>
      <c r="R95" s="25"/>
      <c r="S95" s="25"/>
      <c r="T95" s="25"/>
      <c r="U95" s="25"/>
      <c r="V95" s="25"/>
      <c r="W95" s="17" t="s">
        <v>563</v>
      </c>
      <c r="X95" s="17"/>
      <c r="Y95" s="25"/>
      <c r="Z95" s="25"/>
      <c r="AA95" s="25"/>
      <c r="AB95" s="25"/>
      <c r="AC95" s="25"/>
    </row>
    <row r="96" spans="1:29" x14ac:dyDescent="0.25">
      <c r="A96" s="25"/>
      <c r="B96" s="25"/>
      <c r="C96" s="25"/>
      <c r="D96" s="25"/>
      <c r="E96" s="25"/>
      <c r="F96" s="25"/>
      <c r="G96" s="25"/>
      <c r="H96" s="25"/>
      <c r="I96" s="25"/>
      <c r="J96" s="25"/>
      <c r="K96" s="25"/>
      <c r="L96" s="25"/>
      <c r="M96" s="25"/>
      <c r="N96" s="25"/>
      <c r="O96" s="25"/>
      <c r="P96" s="25"/>
      <c r="Q96" s="25"/>
      <c r="R96" s="25"/>
      <c r="S96" s="25"/>
      <c r="T96" s="25"/>
      <c r="U96" s="25"/>
      <c r="V96" s="25"/>
      <c r="W96" s="17" t="s">
        <v>564</v>
      </c>
      <c r="X96" s="17"/>
      <c r="Y96" s="25"/>
      <c r="Z96" s="25"/>
      <c r="AA96" s="25"/>
      <c r="AB96" s="25"/>
      <c r="AC96" s="25"/>
    </row>
    <row r="97" spans="1:29" x14ac:dyDescent="0.25">
      <c r="A97" s="25"/>
      <c r="B97" s="25"/>
      <c r="C97" s="25"/>
      <c r="D97" s="25"/>
      <c r="E97" s="25"/>
      <c r="F97" s="25"/>
      <c r="G97" s="25"/>
      <c r="H97" s="25"/>
      <c r="I97" s="25"/>
      <c r="J97" s="25"/>
      <c r="K97" s="25"/>
      <c r="L97" s="25"/>
      <c r="M97" s="25"/>
      <c r="N97" s="25"/>
      <c r="O97" s="25"/>
      <c r="P97" s="25"/>
      <c r="Q97" s="25"/>
      <c r="R97" s="25"/>
      <c r="S97" s="25"/>
      <c r="T97" s="25"/>
      <c r="U97" s="25"/>
      <c r="V97" s="25"/>
      <c r="W97" s="17" t="s">
        <v>565</v>
      </c>
      <c r="X97" s="17"/>
      <c r="Y97" s="25"/>
      <c r="Z97" s="25"/>
      <c r="AA97" s="25"/>
      <c r="AB97" s="25"/>
      <c r="AC97" s="25"/>
    </row>
    <row r="98" spans="1:29" x14ac:dyDescent="0.25">
      <c r="A98" s="25"/>
      <c r="B98" s="25"/>
      <c r="C98" s="25"/>
      <c r="D98" s="25"/>
      <c r="E98" s="25"/>
      <c r="F98" s="25"/>
      <c r="G98" s="25"/>
      <c r="H98" s="25"/>
      <c r="I98" s="25"/>
      <c r="J98" s="25"/>
      <c r="K98" s="25"/>
      <c r="L98" s="25"/>
      <c r="M98" s="25"/>
      <c r="N98" s="25"/>
      <c r="O98" s="25"/>
      <c r="P98" s="25"/>
      <c r="Q98" s="25"/>
      <c r="R98" s="25"/>
      <c r="S98" s="25"/>
      <c r="T98" s="25"/>
      <c r="U98" s="25"/>
      <c r="V98" s="25"/>
      <c r="W98" s="17" t="s">
        <v>566</v>
      </c>
      <c r="X98" s="17"/>
      <c r="Y98" s="25"/>
      <c r="Z98" s="25"/>
      <c r="AA98" s="25"/>
      <c r="AB98" s="25"/>
      <c r="AC98" s="25"/>
    </row>
    <row r="99" spans="1:29" x14ac:dyDescent="0.25">
      <c r="A99" s="25"/>
      <c r="B99" s="25"/>
      <c r="C99" s="25"/>
      <c r="D99" s="25"/>
      <c r="E99" s="25"/>
      <c r="F99" s="25"/>
      <c r="G99" s="25"/>
      <c r="H99" s="25"/>
      <c r="I99" s="25"/>
      <c r="J99" s="25"/>
      <c r="K99" s="25"/>
      <c r="L99" s="25"/>
      <c r="M99" s="25"/>
      <c r="N99" s="25"/>
      <c r="O99" s="25"/>
      <c r="P99" s="25"/>
      <c r="Q99" s="25"/>
      <c r="R99" s="25"/>
      <c r="S99" s="25"/>
      <c r="T99" s="25"/>
      <c r="U99" s="25"/>
      <c r="V99" s="25"/>
      <c r="W99" s="17" t="s">
        <v>567</v>
      </c>
      <c r="X99" s="17"/>
      <c r="Y99" s="25"/>
      <c r="Z99" s="25"/>
      <c r="AA99" s="25"/>
      <c r="AB99" s="25"/>
      <c r="AC99" s="25"/>
    </row>
    <row r="100" spans="1:29" x14ac:dyDescent="0.25">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568</v>
      </c>
      <c r="X100" s="17"/>
      <c r="Y100" s="25"/>
      <c r="Z100" s="25"/>
      <c r="AA100" s="25"/>
      <c r="AB100" s="25"/>
      <c r="AC100" s="25"/>
    </row>
    <row r="101" spans="1:29" x14ac:dyDescent="0.25">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569</v>
      </c>
      <c r="X101" s="17"/>
      <c r="Y101" s="25"/>
      <c r="Z101" s="25"/>
      <c r="AA101" s="25"/>
      <c r="AB101" s="25"/>
      <c r="AC101" s="25"/>
    </row>
    <row r="102" spans="1:29" x14ac:dyDescent="0.25">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570</v>
      </c>
      <c r="X102" s="17"/>
      <c r="Y102" s="25"/>
      <c r="Z102" s="25"/>
      <c r="AA102" s="25"/>
      <c r="AB102" s="25"/>
      <c r="AC102" s="25"/>
    </row>
    <row r="103" spans="1:29" x14ac:dyDescent="0.25">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571</v>
      </c>
      <c r="X103" s="17"/>
      <c r="Y103" s="25"/>
      <c r="Z103" s="25"/>
      <c r="AA103" s="25"/>
      <c r="AB103" s="25"/>
      <c r="AC103" s="25"/>
    </row>
    <row r="104" spans="1:29" x14ac:dyDescent="0.25">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572</v>
      </c>
      <c r="X104" s="17"/>
      <c r="Y104" s="25"/>
      <c r="Z104" s="25"/>
      <c r="AA104" s="25"/>
      <c r="AB104" s="25"/>
      <c r="AC104" s="25"/>
    </row>
    <row r="105" spans="1:29" x14ac:dyDescent="0.25">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573</v>
      </c>
      <c r="X105" s="17"/>
      <c r="Y105" s="25"/>
      <c r="Z105" s="25"/>
      <c r="AA105" s="25"/>
      <c r="AB105" s="25"/>
      <c r="AC105" s="25"/>
    </row>
    <row r="106" spans="1:29" x14ac:dyDescent="0.25">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574</v>
      </c>
      <c r="X106" s="17"/>
      <c r="Y106" s="25"/>
      <c r="Z106" s="25"/>
      <c r="AA106" s="25"/>
      <c r="AB106" s="25"/>
      <c r="AC106" s="25"/>
    </row>
    <row r="107" spans="1:29" x14ac:dyDescent="0.25">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575</v>
      </c>
      <c r="X107" s="17"/>
      <c r="Y107" s="25"/>
      <c r="Z107" s="25"/>
      <c r="AA107" s="25"/>
      <c r="AB107" s="25"/>
      <c r="AC107" s="25"/>
    </row>
    <row r="108" spans="1:29" x14ac:dyDescent="0.25">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576</v>
      </c>
      <c r="X108" s="17"/>
      <c r="Y108" s="25"/>
      <c r="Z108" s="25"/>
      <c r="AA108" s="25"/>
      <c r="AB108" s="25"/>
      <c r="AC108" s="25"/>
    </row>
    <row r="109" spans="1:29" x14ac:dyDescent="0.25">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577</v>
      </c>
      <c r="X109" s="17"/>
      <c r="Y109" s="25"/>
      <c r="Z109" s="25"/>
      <c r="AA109" s="25"/>
      <c r="AB109" s="25"/>
      <c r="AC109" s="25"/>
    </row>
    <row r="110" spans="1:29" x14ac:dyDescent="0.25">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578</v>
      </c>
      <c r="X110" s="17"/>
      <c r="Y110" s="25"/>
      <c r="Z110" s="25"/>
      <c r="AA110" s="25"/>
      <c r="AB110" s="25"/>
      <c r="AC110" s="25"/>
    </row>
    <row r="111" spans="1:29" x14ac:dyDescent="0.25">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579</v>
      </c>
      <c r="X111" s="17"/>
      <c r="Y111" s="25"/>
      <c r="Z111" s="25"/>
      <c r="AA111" s="25"/>
      <c r="AB111" s="25"/>
      <c r="AC111" s="25"/>
    </row>
    <row r="112" spans="1:29" x14ac:dyDescent="0.25">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580</v>
      </c>
      <c r="X112" s="17"/>
      <c r="Y112" s="25"/>
      <c r="Z112" s="25"/>
      <c r="AA112" s="25"/>
      <c r="AB112" s="25"/>
      <c r="AC112" s="25"/>
    </row>
    <row r="113" spans="1:29" x14ac:dyDescent="0.25">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581</v>
      </c>
      <c r="X113" s="17"/>
      <c r="Y113" s="25"/>
      <c r="Z113" s="25"/>
      <c r="AA113" s="25"/>
      <c r="AB113" s="25"/>
      <c r="AC113" s="25"/>
    </row>
    <row r="114" spans="1:29" x14ac:dyDescent="0.25">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582</v>
      </c>
      <c r="X114" s="17"/>
      <c r="Y114" s="25"/>
      <c r="Z114" s="25"/>
      <c r="AA114" s="25"/>
      <c r="AB114" s="25"/>
      <c r="AC114" s="25"/>
    </row>
    <row r="115" spans="1:29" x14ac:dyDescent="0.25">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583</v>
      </c>
      <c r="X115" s="17"/>
      <c r="Y115" s="25"/>
      <c r="Z115" s="25"/>
      <c r="AA115" s="25"/>
      <c r="AB115" s="25"/>
      <c r="AC115" s="25"/>
    </row>
    <row r="116" spans="1:29" x14ac:dyDescent="0.25">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584</v>
      </c>
      <c r="X116" s="17"/>
      <c r="Y116" s="25"/>
      <c r="Z116" s="25"/>
      <c r="AA116" s="25"/>
      <c r="AB116" s="25"/>
      <c r="AC116" s="25"/>
    </row>
    <row r="117" spans="1:29" x14ac:dyDescent="0.25">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585</v>
      </c>
      <c r="X117" s="17"/>
      <c r="Y117" s="25"/>
      <c r="Z117" s="25"/>
      <c r="AA117" s="25"/>
      <c r="AB117" s="25"/>
      <c r="AC117" s="25"/>
    </row>
    <row r="118" spans="1:29" x14ac:dyDescent="0.25">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586</v>
      </c>
      <c r="X118" s="17"/>
      <c r="Y118" s="25"/>
      <c r="Z118" s="25"/>
      <c r="AA118" s="25"/>
      <c r="AB118" s="25"/>
      <c r="AC118" s="25"/>
    </row>
    <row r="119" spans="1:29" x14ac:dyDescent="0.25">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587</v>
      </c>
      <c r="X119" s="17"/>
      <c r="Y119" s="25"/>
      <c r="Z119" s="25"/>
      <c r="AA119" s="25"/>
      <c r="AB119" s="25"/>
      <c r="AC119" s="25"/>
    </row>
    <row r="120" spans="1:29" x14ac:dyDescent="0.25">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588</v>
      </c>
      <c r="X120" s="17"/>
      <c r="Y120" s="25"/>
      <c r="Z120" s="25"/>
      <c r="AA120" s="25"/>
      <c r="AB120" s="25"/>
      <c r="AC120" s="25"/>
    </row>
    <row r="121" spans="1:29" x14ac:dyDescent="0.25">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589</v>
      </c>
      <c r="X121" s="17"/>
      <c r="Y121" s="25"/>
      <c r="Z121" s="25"/>
      <c r="AA121" s="25"/>
      <c r="AB121" s="25"/>
      <c r="AC121" s="25"/>
    </row>
    <row r="122" spans="1:29" x14ac:dyDescent="0.25">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590</v>
      </c>
      <c r="X122" s="17"/>
      <c r="Y122" s="25"/>
      <c r="Z122" s="25"/>
      <c r="AA122" s="25"/>
      <c r="AB122" s="25"/>
      <c r="AC122" s="25"/>
    </row>
    <row r="123" spans="1:29" x14ac:dyDescent="0.25">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591</v>
      </c>
      <c r="X123" s="17"/>
      <c r="Y123" s="25"/>
      <c r="Z123" s="25"/>
      <c r="AA123" s="25"/>
      <c r="AB123" s="25"/>
      <c r="AC123" s="25"/>
    </row>
    <row r="124" spans="1:29" x14ac:dyDescent="0.25">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592</v>
      </c>
      <c r="X124" s="17"/>
      <c r="Y124" s="25"/>
      <c r="Z124" s="25"/>
      <c r="AA124" s="25"/>
      <c r="AB124" s="25"/>
      <c r="AC124" s="25"/>
    </row>
    <row r="125" spans="1:29" x14ac:dyDescent="0.25">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593</v>
      </c>
      <c r="X125" s="17"/>
      <c r="Y125" s="25"/>
      <c r="Z125" s="25"/>
      <c r="AA125" s="25"/>
      <c r="AB125" s="25"/>
      <c r="AC125" s="25"/>
    </row>
    <row r="126" spans="1:29" x14ac:dyDescent="0.25">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594</v>
      </c>
      <c r="X126" s="17"/>
      <c r="Y126" s="25"/>
      <c r="Z126" s="25"/>
      <c r="AA126" s="25"/>
      <c r="AB126" s="25"/>
      <c r="AC126" s="25"/>
    </row>
    <row r="127" spans="1:29" x14ac:dyDescent="0.25">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595</v>
      </c>
      <c r="X127" s="17"/>
      <c r="Y127" s="25"/>
      <c r="Z127" s="25"/>
      <c r="AA127" s="25"/>
      <c r="AB127" s="25"/>
      <c r="AC127" s="25"/>
    </row>
    <row r="128" spans="1:29" x14ac:dyDescent="0.25">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596</v>
      </c>
      <c r="X128" s="17"/>
      <c r="Y128" s="25"/>
      <c r="Z128" s="25"/>
      <c r="AA128" s="25"/>
      <c r="AB128" s="25"/>
      <c r="AC128" s="25"/>
    </row>
    <row r="129" spans="1:29" x14ac:dyDescent="0.25">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597</v>
      </c>
      <c r="X129" s="17"/>
      <c r="Y129" s="25"/>
      <c r="Z129" s="25"/>
      <c r="AA129" s="25"/>
      <c r="AB129" s="25"/>
      <c r="AC129" s="25"/>
    </row>
    <row r="130" spans="1:29" x14ac:dyDescent="0.25">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598</v>
      </c>
      <c r="X130" s="17"/>
      <c r="Y130" s="25"/>
      <c r="Z130" s="25"/>
      <c r="AA130" s="25"/>
      <c r="AB130" s="25"/>
      <c r="AC130" s="25"/>
    </row>
    <row r="131" spans="1:29" x14ac:dyDescent="0.25">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599</v>
      </c>
      <c r="X131" s="17"/>
      <c r="Y131" s="25"/>
      <c r="Z131" s="25"/>
      <c r="AA131" s="25"/>
      <c r="AB131" s="25"/>
      <c r="AC131" s="25"/>
    </row>
    <row r="132" spans="1:29" x14ac:dyDescent="0.25">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600</v>
      </c>
      <c r="X132" s="17"/>
      <c r="Y132" s="25"/>
      <c r="Z132" s="25"/>
      <c r="AA132" s="25"/>
      <c r="AB132" s="25"/>
      <c r="AC132" s="25"/>
    </row>
    <row r="133" spans="1:29" x14ac:dyDescent="0.25">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601</v>
      </c>
      <c r="X133" s="17"/>
      <c r="Y133" s="25"/>
      <c r="Z133" s="25"/>
      <c r="AA133" s="25"/>
      <c r="AB133" s="25"/>
      <c r="AC133" s="25"/>
    </row>
    <row r="134" spans="1:29" x14ac:dyDescent="0.25">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602</v>
      </c>
      <c r="X134" s="17"/>
      <c r="Y134" s="25"/>
      <c r="Z134" s="25"/>
      <c r="AA134" s="25"/>
      <c r="AB134" s="25"/>
      <c r="AC134" s="25"/>
    </row>
    <row r="135" spans="1:29" x14ac:dyDescent="0.25">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603</v>
      </c>
      <c r="X135" s="17"/>
      <c r="Y135" s="25"/>
      <c r="Z135" s="25"/>
      <c r="AA135" s="25"/>
      <c r="AB135" s="25"/>
      <c r="AC135" s="25"/>
    </row>
    <row r="136" spans="1:29" x14ac:dyDescent="0.25">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604</v>
      </c>
      <c r="X136" s="17"/>
      <c r="Y136" s="25"/>
      <c r="Z136" s="25"/>
      <c r="AA136" s="25"/>
      <c r="AB136" s="25"/>
      <c r="AC136" s="25"/>
    </row>
    <row r="137" spans="1:29" x14ac:dyDescent="0.25">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605</v>
      </c>
      <c r="X137" s="17"/>
      <c r="Y137" s="25"/>
      <c r="Z137" s="25"/>
      <c r="AA137" s="25"/>
      <c r="AB137" s="25"/>
      <c r="AC137" s="25"/>
    </row>
    <row r="138" spans="1:29" x14ac:dyDescent="0.25">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606</v>
      </c>
      <c r="X138" s="17"/>
      <c r="Y138" s="25"/>
      <c r="Z138" s="25"/>
      <c r="AA138" s="25"/>
      <c r="AB138" s="25"/>
      <c r="AC138" s="25"/>
    </row>
    <row r="139" spans="1:29" x14ac:dyDescent="0.25">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607</v>
      </c>
      <c r="X139" s="17"/>
      <c r="Y139" s="25"/>
      <c r="Z139" s="25"/>
      <c r="AA139" s="25"/>
      <c r="AB139" s="25"/>
      <c r="AC139" s="25"/>
    </row>
    <row r="140" spans="1:29" x14ac:dyDescent="0.25">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608</v>
      </c>
      <c r="X140" s="17"/>
      <c r="Y140" s="25"/>
      <c r="Z140" s="25"/>
      <c r="AA140" s="25"/>
      <c r="AB140" s="25"/>
      <c r="AC140" s="25"/>
    </row>
    <row r="141" spans="1:29" x14ac:dyDescent="0.25">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609</v>
      </c>
      <c r="X141" s="17"/>
      <c r="Y141" s="25"/>
      <c r="Z141" s="25"/>
      <c r="AA141" s="25"/>
      <c r="AB141" s="25"/>
      <c r="AC141" s="25"/>
    </row>
    <row r="142" spans="1:29" x14ac:dyDescent="0.25">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610</v>
      </c>
      <c r="X142" s="17"/>
      <c r="Y142" s="25"/>
      <c r="Z142" s="25"/>
      <c r="AA142" s="25"/>
      <c r="AB142" s="25"/>
      <c r="AC142" s="25"/>
    </row>
    <row r="143" spans="1:29" x14ac:dyDescent="0.25">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611</v>
      </c>
      <c r="X143" s="17"/>
      <c r="Y143" s="25"/>
      <c r="Z143" s="25"/>
      <c r="AA143" s="25"/>
      <c r="AB143" s="25"/>
      <c r="AC143" s="25"/>
    </row>
    <row r="144" spans="1:29" x14ac:dyDescent="0.25">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612</v>
      </c>
      <c r="X144" s="17"/>
      <c r="Y144" s="25"/>
      <c r="Z144" s="25"/>
      <c r="AA144" s="25"/>
      <c r="AB144" s="25"/>
      <c r="AC144" s="25"/>
    </row>
    <row r="145" spans="1:29" x14ac:dyDescent="0.25">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613</v>
      </c>
      <c r="X145" s="17"/>
      <c r="Y145" s="25"/>
      <c r="Z145" s="25"/>
      <c r="AA145" s="25"/>
      <c r="AB145" s="25"/>
      <c r="AC145" s="25"/>
    </row>
    <row r="146" spans="1:29" x14ac:dyDescent="0.25">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614</v>
      </c>
      <c r="X146" s="17"/>
      <c r="Y146" s="25"/>
      <c r="Z146" s="25"/>
      <c r="AA146" s="25"/>
      <c r="AB146" s="25"/>
      <c r="AC146" s="25"/>
    </row>
    <row r="147" spans="1:29" x14ac:dyDescent="0.25">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615</v>
      </c>
      <c r="X147" s="17"/>
      <c r="Y147" s="25"/>
      <c r="Z147" s="25"/>
      <c r="AA147" s="25"/>
      <c r="AB147" s="25"/>
      <c r="AC147" s="25"/>
    </row>
    <row r="148" spans="1:29" x14ac:dyDescent="0.25">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616</v>
      </c>
      <c r="X148" s="17"/>
      <c r="Y148" s="25"/>
      <c r="Z148" s="25"/>
      <c r="AA148" s="25"/>
      <c r="AB148" s="25"/>
      <c r="AC148" s="25"/>
    </row>
    <row r="149" spans="1:29" x14ac:dyDescent="0.25">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617</v>
      </c>
      <c r="X149" s="17"/>
      <c r="Y149" s="25"/>
      <c r="Z149" s="25"/>
      <c r="AA149" s="25"/>
      <c r="AB149" s="25"/>
      <c r="AC149" s="25"/>
    </row>
    <row r="150" spans="1:29" x14ac:dyDescent="0.25">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618</v>
      </c>
      <c r="X150" s="17"/>
      <c r="Y150" s="25"/>
      <c r="Z150" s="25"/>
      <c r="AA150" s="25"/>
      <c r="AB150" s="25"/>
      <c r="AC150" s="25"/>
    </row>
    <row r="151" spans="1:29" x14ac:dyDescent="0.25">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619</v>
      </c>
      <c r="X151" s="17"/>
      <c r="Y151" s="25"/>
      <c r="Z151" s="25"/>
      <c r="AA151" s="25"/>
      <c r="AB151" s="25"/>
      <c r="AC151" s="25"/>
    </row>
    <row r="152" spans="1:29" x14ac:dyDescent="0.25">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620</v>
      </c>
      <c r="X152" s="17"/>
      <c r="Y152" s="25"/>
      <c r="Z152" s="25"/>
      <c r="AA152" s="25"/>
      <c r="AB152" s="25"/>
      <c r="AC152" s="25"/>
    </row>
    <row r="153" spans="1:29" x14ac:dyDescent="0.25">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621</v>
      </c>
      <c r="X153" s="17"/>
      <c r="Y153" s="25"/>
      <c r="Z153" s="25"/>
      <c r="AA153" s="25"/>
      <c r="AB153" s="25"/>
      <c r="AC153" s="25"/>
    </row>
    <row r="154" spans="1:29" x14ac:dyDescent="0.25">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622</v>
      </c>
      <c r="X154" s="17"/>
      <c r="Y154" s="25"/>
      <c r="Z154" s="25"/>
      <c r="AA154" s="25"/>
      <c r="AB154" s="25"/>
      <c r="AC154" s="25"/>
    </row>
    <row r="155" spans="1:29" x14ac:dyDescent="0.25">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623</v>
      </c>
      <c r="X155" s="17"/>
      <c r="Y155" s="25"/>
      <c r="Z155" s="25"/>
      <c r="AA155" s="25"/>
      <c r="AB155" s="25"/>
      <c r="AC155" s="25"/>
    </row>
    <row r="156" spans="1:29" x14ac:dyDescent="0.25">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624</v>
      </c>
      <c r="X156" s="17"/>
      <c r="Y156" s="25"/>
      <c r="Z156" s="25"/>
      <c r="AA156" s="25"/>
      <c r="AB156" s="25"/>
      <c r="AC156" s="25"/>
    </row>
    <row r="157" spans="1:29" x14ac:dyDescent="0.25">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625</v>
      </c>
      <c r="X157" s="17"/>
      <c r="Y157" s="25"/>
      <c r="Z157" s="25"/>
      <c r="AA157" s="25"/>
      <c r="AB157" s="25"/>
      <c r="AC157" s="25"/>
    </row>
    <row r="158" spans="1:29" x14ac:dyDescent="0.25">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626</v>
      </c>
      <c r="X158" s="17"/>
      <c r="Y158" s="25"/>
      <c r="Z158" s="25"/>
      <c r="AA158" s="25"/>
      <c r="AB158" s="25"/>
      <c r="AC158" s="25"/>
    </row>
    <row r="159" spans="1:29" x14ac:dyDescent="0.25">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627</v>
      </c>
      <c r="X159" s="17"/>
      <c r="Y159" s="25"/>
      <c r="Z159" s="25"/>
      <c r="AA159" s="25"/>
      <c r="AB159" s="25"/>
      <c r="AC159" s="25"/>
    </row>
    <row r="160" spans="1:29" x14ac:dyDescent="0.25">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628</v>
      </c>
      <c r="X160" s="17"/>
      <c r="Y160" s="25"/>
      <c r="Z160" s="25"/>
      <c r="AA160" s="25"/>
      <c r="AB160" s="25"/>
      <c r="AC160" s="25"/>
    </row>
    <row r="161" spans="1:29" x14ac:dyDescent="0.25">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629</v>
      </c>
      <c r="X161" s="17"/>
      <c r="Y161" s="25"/>
      <c r="Z161" s="25"/>
      <c r="AA161" s="25"/>
      <c r="AB161" s="25"/>
      <c r="AC161" s="25"/>
    </row>
    <row r="162" spans="1:29" x14ac:dyDescent="0.25">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630</v>
      </c>
      <c r="X162" s="17"/>
      <c r="Y162" s="25"/>
      <c r="Z162" s="25"/>
      <c r="AA162" s="25"/>
      <c r="AB162" s="25"/>
      <c r="AC162" s="25"/>
    </row>
    <row r="163" spans="1:29" x14ac:dyDescent="0.25">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631</v>
      </c>
      <c r="X163" s="17"/>
      <c r="Y163" s="25"/>
      <c r="Z163" s="25"/>
      <c r="AA163" s="25"/>
      <c r="AB163" s="25"/>
      <c r="AC163" s="25"/>
    </row>
    <row r="164" spans="1:29" x14ac:dyDescent="0.25">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632</v>
      </c>
      <c r="X164" s="17"/>
      <c r="Y164" s="25"/>
      <c r="Z164" s="25"/>
      <c r="AA164" s="25"/>
      <c r="AB164" s="25"/>
      <c r="AC164" s="25"/>
    </row>
    <row r="165" spans="1:29" x14ac:dyDescent="0.25">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633</v>
      </c>
      <c r="X165" s="17"/>
      <c r="Y165" s="25"/>
      <c r="Z165" s="25"/>
      <c r="AA165" s="25"/>
      <c r="AB165" s="25"/>
      <c r="AC165" s="25"/>
    </row>
    <row r="166" spans="1:29" x14ac:dyDescent="0.25">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634</v>
      </c>
      <c r="X166" s="17"/>
      <c r="Y166" s="25"/>
      <c r="Z166" s="25"/>
      <c r="AA166" s="25"/>
      <c r="AB166" s="25"/>
      <c r="AC166" s="25"/>
    </row>
    <row r="167" spans="1:29" x14ac:dyDescent="0.25">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635</v>
      </c>
      <c r="X167" s="17"/>
      <c r="Y167" s="25"/>
      <c r="Z167" s="25"/>
      <c r="AA167" s="25"/>
      <c r="AB167" s="25"/>
      <c r="AC167" s="25"/>
    </row>
    <row r="168" spans="1:29" x14ac:dyDescent="0.25">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636</v>
      </c>
      <c r="X168" s="17"/>
      <c r="Y168" s="25"/>
      <c r="Z168" s="25"/>
      <c r="AA168" s="25"/>
      <c r="AB168" s="25"/>
      <c r="AC168" s="25"/>
    </row>
    <row r="169" spans="1:29" x14ac:dyDescent="0.25">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637</v>
      </c>
      <c r="X169" s="17"/>
      <c r="Y169" s="25"/>
      <c r="Z169" s="25"/>
      <c r="AA169" s="25"/>
      <c r="AB169" s="25"/>
      <c r="AC169" s="25"/>
    </row>
    <row r="170" spans="1:29" x14ac:dyDescent="0.25">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638</v>
      </c>
      <c r="X170" s="17"/>
      <c r="Y170" s="25"/>
      <c r="Z170" s="25"/>
      <c r="AA170" s="25"/>
      <c r="AB170" s="25"/>
      <c r="AC170" s="25"/>
    </row>
    <row r="171" spans="1:29" x14ac:dyDescent="0.25">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639</v>
      </c>
      <c r="X171" s="17"/>
      <c r="Y171" s="25"/>
      <c r="Z171" s="25"/>
      <c r="AA171" s="25"/>
      <c r="AB171" s="25"/>
      <c r="AC171" s="25"/>
    </row>
    <row r="172" spans="1:29" x14ac:dyDescent="0.25">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640</v>
      </c>
      <c r="X172" s="17"/>
      <c r="Y172" s="25"/>
      <c r="Z172" s="25"/>
      <c r="AA172" s="25"/>
      <c r="AB172" s="25"/>
      <c r="AC172" s="25"/>
    </row>
    <row r="173" spans="1:29" x14ac:dyDescent="0.25">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641</v>
      </c>
      <c r="X173" s="17"/>
      <c r="Y173" s="25"/>
      <c r="Z173" s="25"/>
      <c r="AA173" s="25"/>
      <c r="AB173" s="25"/>
      <c r="AC173" s="25"/>
    </row>
    <row r="174" spans="1:29" x14ac:dyDescent="0.25">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642</v>
      </c>
      <c r="X174" s="17"/>
      <c r="Y174" s="25"/>
      <c r="Z174" s="25"/>
      <c r="AA174" s="25"/>
      <c r="AB174" s="25"/>
      <c r="AC174" s="25"/>
    </row>
    <row r="175" spans="1:29" x14ac:dyDescent="0.25">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643</v>
      </c>
      <c r="X175" s="17"/>
      <c r="Y175" s="25"/>
      <c r="Z175" s="25"/>
      <c r="AA175" s="25"/>
      <c r="AB175" s="25"/>
      <c r="AC175" s="25"/>
    </row>
    <row r="176" spans="1:29" x14ac:dyDescent="0.25">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644</v>
      </c>
      <c r="X176" s="17"/>
      <c r="Y176" s="25"/>
      <c r="Z176" s="25"/>
      <c r="AA176" s="25"/>
      <c r="AB176" s="25"/>
      <c r="AC176" s="25"/>
    </row>
    <row r="177" spans="1:29" x14ac:dyDescent="0.25">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645</v>
      </c>
      <c r="X177" s="17"/>
      <c r="Y177" s="25"/>
      <c r="Z177" s="25"/>
      <c r="AA177" s="25"/>
      <c r="AB177" s="25"/>
      <c r="AC177" s="25"/>
    </row>
    <row r="178" spans="1:29" x14ac:dyDescent="0.25">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646</v>
      </c>
      <c r="X178" s="17"/>
      <c r="Y178" s="25"/>
      <c r="Z178" s="25"/>
      <c r="AA178" s="25"/>
      <c r="AB178" s="25"/>
      <c r="AC178" s="25"/>
    </row>
    <row r="179" spans="1:29" x14ac:dyDescent="0.25">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647</v>
      </c>
      <c r="X179" s="17"/>
      <c r="Y179" s="25"/>
      <c r="Z179" s="25"/>
      <c r="AA179" s="25"/>
      <c r="AB179" s="25"/>
      <c r="AC179" s="25"/>
    </row>
    <row r="180" spans="1:29" x14ac:dyDescent="0.25">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648</v>
      </c>
      <c r="X180" s="17"/>
      <c r="Y180" s="25"/>
      <c r="Z180" s="25"/>
      <c r="AA180" s="25"/>
      <c r="AB180" s="25"/>
      <c r="AC180" s="25"/>
    </row>
    <row r="181" spans="1:29" x14ac:dyDescent="0.25">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649</v>
      </c>
      <c r="X181" s="17"/>
      <c r="Y181" s="25"/>
      <c r="Z181" s="25"/>
      <c r="AA181" s="25"/>
      <c r="AB181" s="25"/>
      <c r="AC181" s="25"/>
    </row>
    <row r="182" spans="1:29" x14ac:dyDescent="0.25">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650</v>
      </c>
      <c r="X182" s="17"/>
      <c r="Y182" s="25"/>
      <c r="Z182" s="25"/>
      <c r="AA182" s="25"/>
      <c r="AB182" s="25"/>
      <c r="AC182" s="25"/>
    </row>
    <row r="183" spans="1:29" x14ac:dyDescent="0.25">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651</v>
      </c>
      <c r="X183" s="17"/>
      <c r="Y183" s="25"/>
      <c r="Z183" s="25"/>
      <c r="AA183" s="25"/>
      <c r="AB183" s="25"/>
      <c r="AC183" s="25"/>
    </row>
    <row r="184" spans="1:29" x14ac:dyDescent="0.25">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652</v>
      </c>
      <c r="X184" s="17"/>
      <c r="Y184" s="25"/>
      <c r="Z184" s="25"/>
      <c r="AA184" s="25"/>
      <c r="AB184" s="25"/>
      <c r="AC184" s="25"/>
    </row>
    <row r="185" spans="1:29" x14ac:dyDescent="0.25">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653</v>
      </c>
      <c r="X185" s="17"/>
      <c r="Y185" s="25"/>
      <c r="Z185" s="25"/>
      <c r="AA185" s="25"/>
      <c r="AB185" s="25"/>
      <c r="AC185" s="25"/>
    </row>
    <row r="186" spans="1:29" x14ac:dyDescent="0.25">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654</v>
      </c>
      <c r="X186" s="17"/>
      <c r="Y186" s="25"/>
      <c r="Z186" s="25"/>
      <c r="AA186" s="25"/>
      <c r="AB186" s="25"/>
      <c r="AC186" s="25"/>
    </row>
    <row r="187" spans="1:29" x14ac:dyDescent="0.25">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655</v>
      </c>
      <c r="X187" s="17"/>
      <c r="Y187" s="25"/>
      <c r="Z187" s="25"/>
      <c r="AA187" s="25"/>
      <c r="AB187" s="25"/>
      <c r="AC187" s="25"/>
    </row>
    <row r="188" spans="1:29" x14ac:dyDescent="0.25">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656</v>
      </c>
      <c r="X188" s="17"/>
      <c r="Y188" s="25"/>
      <c r="Z188" s="25"/>
      <c r="AA188" s="25"/>
      <c r="AB188" s="25"/>
      <c r="AC188" s="25"/>
    </row>
    <row r="189" spans="1:29" x14ac:dyDescent="0.25">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657</v>
      </c>
      <c r="X189" s="17"/>
      <c r="Y189" s="25"/>
      <c r="Z189" s="25"/>
      <c r="AA189" s="25"/>
      <c r="AB189" s="25"/>
      <c r="AC189" s="25"/>
    </row>
    <row r="190" spans="1:29" x14ac:dyDescent="0.25">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658</v>
      </c>
      <c r="X190" s="17"/>
      <c r="Y190" s="25"/>
      <c r="Z190" s="25"/>
      <c r="AA190" s="25"/>
      <c r="AB190" s="25"/>
      <c r="AC190" s="25"/>
    </row>
    <row r="191" spans="1:29" x14ac:dyDescent="0.25">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659</v>
      </c>
      <c r="X191" s="17"/>
      <c r="Y191" s="25"/>
      <c r="Z191" s="25"/>
      <c r="AA191" s="25"/>
      <c r="AB191" s="25"/>
      <c r="AC191" s="25"/>
    </row>
    <row r="192" spans="1:29" x14ac:dyDescent="0.25">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660</v>
      </c>
      <c r="X192" s="17"/>
      <c r="Y192" s="25"/>
      <c r="Z192" s="25"/>
      <c r="AA192" s="25"/>
      <c r="AB192" s="25"/>
      <c r="AC192" s="25"/>
    </row>
    <row r="193" spans="1:29" x14ac:dyDescent="0.25">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661</v>
      </c>
      <c r="X193" s="17"/>
      <c r="Y193" s="25"/>
      <c r="Z193" s="25"/>
      <c r="AA193" s="25"/>
      <c r="AB193" s="25"/>
      <c r="AC193" s="25"/>
    </row>
    <row r="194" spans="1:29" x14ac:dyDescent="0.25">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662</v>
      </c>
      <c r="X194" s="17"/>
      <c r="Y194" s="25"/>
      <c r="Z194" s="25"/>
      <c r="AA194" s="25"/>
      <c r="AB194" s="25"/>
      <c r="AC194" s="25"/>
    </row>
    <row r="195" spans="1:29" x14ac:dyDescent="0.25">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663</v>
      </c>
      <c r="X195" s="17"/>
      <c r="Y195" s="25"/>
      <c r="Z195" s="25"/>
      <c r="AA195" s="25"/>
      <c r="AB195" s="25"/>
      <c r="AC195" s="25"/>
    </row>
    <row r="196" spans="1:29" x14ac:dyDescent="0.25">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664</v>
      </c>
      <c r="X196" s="17"/>
      <c r="Y196" s="25"/>
      <c r="Z196" s="25"/>
      <c r="AA196" s="25"/>
      <c r="AB196" s="25"/>
      <c r="AC196" s="25"/>
    </row>
    <row r="197" spans="1:29" x14ac:dyDescent="0.25">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665</v>
      </c>
      <c r="X197" s="17"/>
      <c r="Y197" s="25"/>
      <c r="Z197" s="25"/>
      <c r="AA197" s="25"/>
      <c r="AB197" s="25"/>
      <c r="AC197" s="25"/>
    </row>
    <row r="198" spans="1:29" x14ac:dyDescent="0.25">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666</v>
      </c>
      <c r="X198" s="17"/>
      <c r="Y198" s="25"/>
      <c r="Z198" s="25"/>
      <c r="AA198" s="25"/>
      <c r="AB198" s="25"/>
      <c r="AC198" s="25"/>
    </row>
    <row r="199" spans="1:29" x14ac:dyDescent="0.25">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667</v>
      </c>
      <c r="X199" s="17"/>
      <c r="Y199" s="25"/>
      <c r="Z199" s="25"/>
      <c r="AA199" s="25"/>
      <c r="AB199" s="25"/>
      <c r="AC199" s="25"/>
    </row>
    <row r="200" spans="1:29" x14ac:dyDescent="0.25">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668</v>
      </c>
      <c r="X200" s="17"/>
      <c r="Y200" s="25"/>
      <c r="Z200" s="25"/>
      <c r="AA200" s="25"/>
      <c r="AB200" s="25"/>
      <c r="AC200" s="25"/>
    </row>
    <row r="201" spans="1:29" x14ac:dyDescent="0.25">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669</v>
      </c>
      <c r="X201" s="17"/>
      <c r="Y201" s="25"/>
      <c r="Z201" s="25"/>
      <c r="AA201" s="25"/>
      <c r="AB201" s="25"/>
      <c r="AC201" s="25"/>
    </row>
    <row r="202" spans="1:29" x14ac:dyDescent="0.25">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670</v>
      </c>
      <c r="X202" s="17"/>
      <c r="Y202" s="25"/>
      <c r="Z202" s="25"/>
      <c r="AA202" s="25"/>
      <c r="AB202" s="25"/>
      <c r="AC202" s="25"/>
    </row>
    <row r="203" spans="1:29" x14ac:dyDescent="0.25">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671</v>
      </c>
      <c r="X203" s="17"/>
      <c r="Y203" s="25"/>
      <c r="Z203" s="25"/>
      <c r="AA203" s="25"/>
      <c r="AB203" s="25"/>
      <c r="AC203" s="25"/>
    </row>
    <row r="204" spans="1:29" x14ac:dyDescent="0.25">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672</v>
      </c>
      <c r="X204" s="17"/>
      <c r="Y204" s="25"/>
      <c r="Z204" s="25"/>
      <c r="AA204" s="25"/>
      <c r="AB204" s="25"/>
      <c r="AC204" s="25"/>
    </row>
    <row r="205" spans="1:29" x14ac:dyDescent="0.25">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673</v>
      </c>
      <c r="X205" s="17"/>
      <c r="Y205" s="25"/>
      <c r="Z205" s="25"/>
      <c r="AA205" s="25"/>
      <c r="AB205" s="25"/>
      <c r="AC205" s="25"/>
    </row>
    <row r="206" spans="1:29" x14ac:dyDescent="0.25">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674</v>
      </c>
      <c r="X206" s="17"/>
      <c r="Y206" s="25"/>
      <c r="Z206" s="25"/>
      <c r="AA206" s="25"/>
      <c r="AB206" s="25"/>
      <c r="AC206" s="25"/>
    </row>
    <row r="207" spans="1:29" x14ac:dyDescent="0.25">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675</v>
      </c>
      <c r="X207" s="17"/>
      <c r="Y207" s="25"/>
      <c r="Z207" s="25"/>
      <c r="AA207" s="25"/>
      <c r="AB207" s="25"/>
      <c r="AC207" s="25"/>
    </row>
    <row r="208" spans="1:29" x14ac:dyDescent="0.25">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676</v>
      </c>
      <c r="X208" s="17"/>
      <c r="Y208" s="25"/>
      <c r="Z208" s="25"/>
      <c r="AA208" s="25"/>
      <c r="AB208" s="25"/>
      <c r="AC208" s="25"/>
    </row>
    <row r="209" spans="1:29" x14ac:dyDescent="0.25">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677</v>
      </c>
      <c r="X209" s="17"/>
      <c r="Y209" s="25"/>
      <c r="Z209" s="25"/>
      <c r="AA209" s="25"/>
      <c r="AB209" s="25"/>
      <c r="AC209" s="25"/>
    </row>
    <row r="210" spans="1:29" x14ac:dyDescent="0.25">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678</v>
      </c>
      <c r="X210" s="17"/>
      <c r="Y210" s="25"/>
      <c r="Z210" s="25"/>
      <c r="AA210" s="25"/>
      <c r="AB210" s="25"/>
      <c r="AC210" s="25"/>
    </row>
    <row r="211" spans="1:29" x14ac:dyDescent="0.25">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679</v>
      </c>
      <c r="X211" s="17"/>
      <c r="Y211" s="25"/>
      <c r="Z211" s="25"/>
      <c r="AA211" s="25"/>
      <c r="AB211" s="25"/>
      <c r="AC211" s="25"/>
    </row>
    <row r="212" spans="1:29" x14ac:dyDescent="0.25">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680</v>
      </c>
      <c r="X212" s="17"/>
      <c r="Y212" s="25"/>
      <c r="Z212" s="25"/>
      <c r="AA212" s="25"/>
      <c r="AB212" s="25"/>
      <c r="AC212" s="25"/>
    </row>
    <row r="213" spans="1:29" x14ac:dyDescent="0.25">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681</v>
      </c>
      <c r="X213" s="17"/>
      <c r="Y213" s="25"/>
      <c r="Z213" s="25"/>
      <c r="AA213" s="25"/>
      <c r="AB213" s="25"/>
      <c r="AC213" s="25"/>
    </row>
    <row r="214" spans="1:29" x14ac:dyDescent="0.25">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682</v>
      </c>
      <c r="X214" s="17"/>
      <c r="Y214" s="25"/>
      <c r="Z214" s="25"/>
      <c r="AA214" s="25"/>
      <c r="AB214" s="25"/>
      <c r="AC214" s="25"/>
    </row>
    <row r="215" spans="1:29" x14ac:dyDescent="0.25">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683</v>
      </c>
      <c r="X215" s="17"/>
      <c r="Y215" s="25"/>
      <c r="Z215" s="25"/>
      <c r="AA215" s="25"/>
      <c r="AB215" s="25"/>
      <c r="AC215" s="25"/>
    </row>
    <row r="216" spans="1:29" x14ac:dyDescent="0.25">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684</v>
      </c>
      <c r="X216" s="17"/>
      <c r="Y216" s="25"/>
      <c r="Z216" s="25"/>
      <c r="AA216" s="25"/>
      <c r="AB216" s="25"/>
      <c r="AC216" s="25"/>
    </row>
    <row r="217" spans="1:29" x14ac:dyDescent="0.25">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685</v>
      </c>
      <c r="X217" s="17"/>
      <c r="Y217" s="25"/>
      <c r="Z217" s="25"/>
      <c r="AA217" s="25"/>
      <c r="AB217" s="25"/>
      <c r="AC217" s="25"/>
    </row>
    <row r="218" spans="1:29" x14ac:dyDescent="0.25">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686</v>
      </c>
      <c r="X218" s="17"/>
      <c r="Y218" s="25"/>
      <c r="Z218" s="25"/>
      <c r="AA218" s="25"/>
      <c r="AB218" s="25"/>
      <c r="AC218" s="25"/>
    </row>
    <row r="219" spans="1:29" x14ac:dyDescent="0.25">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687</v>
      </c>
      <c r="X219" s="17"/>
      <c r="Y219" s="25"/>
      <c r="Z219" s="25"/>
      <c r="AA219" s="25"/>
      <c r="AB219" s="25"/>
      <c r="AC219" s="25"/>
    </row>
    <row r="220" spans="1:29" x14ac:dyDescent="0.25">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688</v>
      </c>
      <c r="X220" s="17"/>
      <c r="Y220" s="25"/>
      <c r="Z220" s="25"/>
      <c r="AA220" s="25"/>
      <c r="AB220" s="25"/>
      <c r="AC220" s="25"/>
    </row>
    <row r="221" spans="1:29" x14ac:dyDescent="0.25">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689</v>
      </c>
      <c r="X221" s="17"/>
      <c r="Y221" s="25"/>
      <c r="Z221" s="25"/>
      <c r="AA221" s="25"/>
      <c r="AB221" s="25"/>
      <c r="AC221" s="25"/>
    </row>
    <row r="222" spans="1:29" x14ac:dyDescent="0.25">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690</v>
      </c>
      <c r="X222" s="17"/>
      <c r="Y222" s="25"/>
      <c r="Z222" s="25"/>
      <c r="AA222" s="25"/>
      <c r="AB222" s="25"/>
      <c r="AC222" s="25"/>
    </row>
    <row r="223" spans="1:29" x14ac:dyDescent="0.25">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691</v>
      </c>
      <c r="X223" s="17"/>
      <c r="Y223" s="25"/>
      <c r="Z223" s="25"/>
      <c r="AA223" s="25"/>
      <c r="AB223" s="25"/>
      <c r="AC223" s="25"/>
    </row>
    <row r="224" spans="1:29" x14ac:dyDescent="0.25">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692</v>
      </c>
      <c r="X224" s="17"/>
      <c r="Y224" s="25"/>
      <c r="Z224" s="25"/>
      <c r="AA224" s="25"/>
      <c r="AB224" s="25"/>
      <c r="AC224" s="25"/>
    </row>
    <row r="225" spans="1:29" x14ac:dyDescent="0.25">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693</v>
      </c>
      <c r="X225" s="17"/>
      <c r="Y225" s="25"/>
      <c r="Z225" s="25"/>
      <c r="AA225" s="25"/>
      <c r="AB225" s="25"/>
      <c r="AC225" s="25"/>
    </row>
    <row r="226" spans="1:29" x14ac:dyDescent="0.25">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694</v>
      </c>
      <c r="X226" s="17"/>
      <c r="Y226" s="25"/>
      <c r="Z226" s="25"/>
      <c r="AA226" s="25"/>
      <c r="AB226" s="25"/>
      <c r="AC226" s="25"/>
    </row>
    <row r="227" spans="1:29" x14ac:dyDescent="0.25">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695</v>
      </c>
      <c r="X227" s="17"/>
      <c r="Y227" s="25"/>
      <c r="Z227" s="25"/>
      <c r="AA227" s="25"/>
      <c r="AB227" s="25"/>
      <c r="AC227" s="25"/>
    </row>
    <row r="228" spans="1:29" x14ac:dyDescent="0.25">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696</v>
      </c>
      <c r="X228" s="17"/>
      <c r="Y228" s="25"/>
      <c r="Z228" s="25"/>
      <c r="AA228" s="25"/>
      <c r="AB228" s="25"/>
      <c r="AC228" s="25"/>
    </row>
    <row r="229" spans="1:29" x14ac:dyDescent="0.25">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697</v>
      </c>
      <c r="X229" s="17"/>
      <c r="Y229" s="25"/>
      <c r="Z229" s="25"/>
      <c r="AA229" s="25"/>
      <c r="AB229" s="25"/>
      <c r="AC229" s="25"/>
    </row>
    <row r="230" spans="1:29" x14ac:dyDescent="0.25">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698</v>
      </c>
      <c r="X230" s="17"/>
      <c r="Y230" s="25"/>
      <c r="Z230" s="25"/>
      <c r="AA230" s="25"/>
      <c r="AB230" s="25"/>
      <c r="AC230" s="25"/>
    </row>
    <row r="231" spans="1:29" x14ac:dyDescent="0.25">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699</v>
      </c>
      <c r="X231" s="17"/>
      <c r="Y231" s="25"/>
      <c r="Z231" s="25"/>
      <c r="AA231" s="25"/>
      <c r="AB231" s="25"/>
      <c r="AC231" s="25"/>
    </row>
    <row r="232" spans="1:29" x14ac:dyDescent="0.25">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700</v>
      </c>
      <c r="X232" s="17"/>
      <c r="Y232" s="25"/>
      <c r="Z232" s="25"/>
      <c r="AA232" s="25"/>
      <c r="AB232" s="25"/>
      <c r="AC232" s="25"/>
    </row>
    <row r="233" spans="1:29" x14ac:dyDescent="0.25">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701</v>
      </c>
      <c r="X233" s="17"/>
      <c r="Y233" s="25"/>
      <c r="Z233" s="25"/>
      <c r="AA233" s="25"/>
      <c r="AB233" s="25"/>
      <c r="AC233" s="25"/>
    </row>
    <row r="234" spans="1:29" x14ac:dyDescent="0.25">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702</v>
      </c>
      <c r="X234" s="17"/>
      <c r="Y234" s="25"/>
      <c r="Z234" s="25"/>
      <c r="AA234" s="25"/>
      <c r="AB234" s="25"/>
      <c r="AC234" s="25"/>
    </row>
    <row r="235" spans="1:29" x14ac:dyDescent="0.25">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703</v>
      </c>
      <c r="X235" s="17"/>
      <c r="Y235" s="25"/>
      <c r="Z235" s="25"/>
      <c r="AA235" s="25"/>
      <c r="AB235" s="25"/>
      <c r="AC235" s="25"/>
    </row>
    <row r="236" spans="1:29" x14ac:dyDescent="0.25">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704</v>
      </c>
      <c r="X236" s="17"/>
      <c r="Y236" s="25"/>
      <c r="Z236" s="25"/>
      <c r="AA236" s="25"/>
      <c r="AB236" s="25"/>
      <c r="AC236" s="25"/>
    </row>
    <row r="237" spans="1:29" x14ac:dyDescent="0.25">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705</v>
      </c>
      <c r="X237" s="17"/>
      <c r="Y237" s="25"/>
      <c r="Z237" s="25"/>
      <c r="AA237" s="25"/>
      <c r="AB237" s="25"/>
      <c r="AC237" s="25"/>
    </row>
    <row r="238" spans="1:29" x14ac:dyDescent="0.25">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706</v>
      </c>
      <c r="X238" s="17"/>
      <c r="Y238" s="25"/>
      <c r="Z238" s="25"/>
      <c r="AA238" s="25"/>
      <c r="AB238" s="25"/>
      <c r="AC238" s="25"/>
    </row>
    <row r="239" spans="1:29" x14ac:dyDescent="0.25">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707</v>
      </c>
      <c r="X239" s="17"/>
      <c r="Y239" s="25"/>
      <c r="Z239" s="25"/>
      <c r="AA239" s="25"/>
      <c r="AB239" s="25"/>
      <c r="AC239" s="25"/>
    </row>
    <row r="240" spans="1:29" x14ac:dyDescent="0.25">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708</v>
      </c>
      <c r="X240" s="17"/>
      <c r="Y240" s="25"/>
      <c r="Z240" s="25"/>
      <c r="AA240" s="25"/>
      <c r="AB240" s="25"/>
      <c r="AC240" s="25"/>
    </row>
    <row r="241" spans="1:29" x14ac:dyDescent="0.25">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709</v>
      </c>
      <c r="X241" s="17"/>
      <c r="Y241" s="25"/>
      <c r="Z241" s="25"/>
      <c r="AA241" s="25"/>
      <c r="AB241" s="25"/>
      <c r="AC241" s="25"/>
    </row>
    <row r="242" spans="1:29" x14ac:dyDescent="0.25">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710</v>
      </c>
      <c r="X242" s="17"/>
      <c r="Y242" s="25"/>
      <c r="Z242" s="25"/>
      <c r="AA242" s="25"/>
      <c r="AB242" s="25"/>
      <c r="AC242" s="25"/>
    </row>
    <row r="243" spans="1:29" x14ac:dyDescent="0.25">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711</v>
      </c>
      <c r="X243" s="17"/>
      <c r="Y243" s="25"/>
      <c r="Z243" s="25"/>
      <c r="AA243" s="25"/>
      <c r="AB243" s="25"/>
      <c r="AC243" s="25"/>
    </row>
    <row r="244" spans="1:29" x14ac:dyDescent="0.25">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712</v>
      </c>
      <c r="X244" s="17"/>
      <c r="Y244" s="25"/>
      <c r="Z244" s="25"/>
      <c r="AA244" s="25"/>
      <c r="AB244" s="25"/>
      <c r="AC244" s="25"/>
    </row>
    <row r="245" spans="1:29" x14ac:dyDescent="0.25">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713</v>
      </c>
      <c r="X245" s="17"/>
      <c r="Y245" s="25"/>
      <c r="Z245" s="25"/>
      <c r="AA245" s="25"/>
      <c r="AB245" s="25"/>
      <c r="AC245" s="25"/>
    </row>
    <row r="246" spans="1:29" x14ac:dyDescent="0.25">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714</v>
      </c>
      <c r="X246" s="17"/>
      <c r="Y246" s="25"/>
      <c r="Z246" s="25"/>
      <c r="AA246" s="25"/>
      <c r="AB246" s="25"/>
      <c r="AC246" s="25"/>
    </row>
    <row r="247" spans="1:29" x14ac:dyDescent="0.25">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715</v>
      </c>
      <c r="X247" s="17"/>
      <c r="Y247" s="25"/>
      <c r="Z247" s="25"/>
      <c r="AA247" s="25"/>
      <c r="AB247" s="25"/>
      <c r="AC247" s="25"/>
    </row>
    <row r="248" spans="1:29" x14ac:dyDescent="0.25">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716</v>
      </c>
      <c r="X248" s="17"/>
      <c r="Y248" s="25"/>
      <c r="Z248" s="25"/>
      <c r="AA248" s="25"/>
      <c r="AB248" s="25"/>
      <c r="AC248" s="25"/>
    </row>
    <row r="249" spans="1:29" x14ac:dyDescent="0.25">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717</v>
      </c>
      <c r="X249" s="17"/>
      <c r="Y249" s="25"/>
      <c r="Z249" s="25"/>
      <c r="AA249" s="25"/>
      <c r="AB249" s="25"/>
      <c r="AC249" s="25"/>
    </row>
    <row r="250" spans="1:29" x14ac:dyDescent="0.25">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718</v>
      </c>
      <c r="X250" s="17"/>
      <c r="Y250" s="25"/>
      <c r="Z250" s="25"/>
      <c r="AA250" s="25"/>
      <c r="AB250" s="25"/>
      <c r="AC250" s="25"/>
    </row>
    <row r="251" spans="1:29" x14ac:dyDescent="0.25">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719</v>
      </c>
      <c r="X251" s="17"/>
      <c r="Y251" s="25"/>
      <c r="Z251" s="25"/>
      <c r="AA251" s="25"/>
      <c r="AB251" s="25"/>
      <c r="AC251" s="25"/>
    </row>
    <row r="252" spans="1:29" x14ac:dyDescent="0.25">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720</v>
      </c>
      <c r="X252" s="17"/>
      <c r="Y252" s="25"/>
      <c r="Z252" s="25"/>
      <c r="AA252" s="25"/>
      <c r="AB252" s="25"/>
      <c r="AC252" s="25"/>
    </row>
    <row r="253" spans="1:29" x14ac:dyDescent="0.25">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721</v>
      </c>
      <c r="X253" s="17"/>
      <c r="Y253" s="25"/>
      <c r="Z253" s="25"/>
      <c r="AA253" s="25"/>
      <c r="AB253" s="25"/>
      <c r="AC253" s="25"/>
    </row>
    <row r="254" spans="1:29" x14ac:dyDescent="0.25">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722</v>
      </c>
      <c r="X254" s="17"/>
      <c r="Y254" s="25"/>
      <c r="Z254" s="25"/>
      <c r="AA254" s="25"/>
      <c r="AB254" s="25"/>
      <c r="AC254" s="25"/>
    </row>
    <row r="255" spans="1:29" x14ac:dyDescent="0.25">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723</v>
      </c>
      <c r="X255" s="17"/>
      <c r="Y255" s="25"/>
      <c r="Z255" s="25"/>
      <c r="AA255" s="25"/>
      <c r="AB255" s="25"/>
      <c r="AC255" s="25"/>
    </row>
    <row r="256" spans="1:29" x14ac:dyDescent="0.25">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724</v>
      </c>
      <c r="X256" s="17"/>
      <c r="Y256" s="25"/>
      <c r="Z256" s="25"/>
      <c r="AA256" s="25"/>
      <c r="AB256" s="25"/>
      <c r="AC256" s="25"/>
    </row>
    <row r="257" spans="1:29" x14ac:dyDescent="0.25">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725</v>
      </c>
      <c r="X257" s="17"/>
      <c r="Y257" s="25"/>
      <c r="Z257" s="25"/>
      <c r="AA257" s="25"/>
      <c r="AB257" s="25"/>
      <c r="AC257" s="25"/>
    </row>
    <row r="258" spans="1:29" x14ac:dyDescent="0.25">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726</v>
      </c>
      <c r="X258" s="17"/>
      <c r="Y258" s="25"/>
      <c r="Z258" s="25"/>
      <c r="AA258" s="25"/>
      <c r="AB258" s="25"/>
      <c r="AC258" s="25"/>
    </row>
    <row r="259" spans="1:29" x14ac:dyDescent="0.25">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727</v>
      </c>
      <c r="X259" s="17"/>
      <c r="Y259" s="25"/>
      <c r="Z259" s="25"/>
      <c r="AA259" s="25"/>
      <c r="AB259" s="25"/>
      <c r="AC259" s="25"/>
    </row>
    <row r="260" spans="1:29" x14ac:dyDescent="0.25">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728</v>
      </c>
      <c r="X260" s="17"/>
      <c r="Y260" s="25"/>
      <c r="Z260" s="25"/>
      <c r="AA260" s="25"/>
      <c r="AB260" s="25"/>
      <c r="AC260" s="25"/>
    </row>
    <row r="261" spans="1:29" x14ac:dyDescent="0.25">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729</v>
      </c>
      <c r="X261" s="17"/>
      <c r="Y261" s="25"/>
      <c r="Z261" s="25"/>
      <c r="AA261" s="25"/>
      <c r="AB261" s="25"/>
      <c r="AC261" s="25"/>
    </row>
    <row r="262" spans="1:29" x14ac:dyDescent="0.25">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730</v>
      </c>
      <c r="X262" s="17"/>
      <c r="Y262" s="25"/>
      <c r="Z262" s="25"/>
      <c r="AA262" s="25"/>
      <c r="AB262" s="25"/>
      <c r="AC262" s="25"/>
    </row>
    <row r="263" spans="1:29" x14ac:dyDescent="0.25">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731</v>
      </c>
      <c r="X263" s="17"/>
      <c r="Y263" s="25"/>
      <c r="Z263" s="25"/>
      <c r="AA263" s="25"/>
      <c r="AB263" s="25"/>
      <c r="AC263" s="25"/>
    </row>
    <row r="264" spans="1:29" x14ac:dyDescent="0.25">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732</v>
      </c>
      <c r="X264" s="17"/>
      <c r="Y264" s="25"/>
      <c r="Z264" s="25"/>
      <c r="AA264" s="25"/>
      <c r="AB264" s="25"/>
      <c r="AC264" s="25"/>
    </row>
    <row r="265" spans="1:29" x14ac:dyDescent="0.25">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733</v>
      </c>
      <c r="X265" s="17"/>
      <c r="Y265" s="25"/>
      <c r="Z265" s="25"/>
      <c r="AA265" s="25"/>
      <c r="AB265" s="25"/>
      <c r="AC265" s="25"/>
    </row>
    <row r="266" spans="1:29" x14ac:dyDescent="0.25">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734</v>
      </c>
      <c r="X266" s="17"/>
      <c r="Y266" s="25"/>
      <c r="Z266" s="25"/>
      <c r="AA266" s="25"/>
      <c r="AB266" s="25"/>
      <c r="AC266" s="25"/>
    </row>
    <row r="267" spans="1:29" x14ac:dyDescent="0.25">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735</v>
      </c>
      <c r="X267" s="17"/>
      <c r="Y267" s="25"/>
      <c r="Z267" s="25"/>
      <c r="AA267" s="25"/>
      <c r="AB267" s="25"/>
      <c r="AC267" s="25"/>
    </row>
    <row r="268" spans="1:29" x14ac:dyDescent="0.25">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736</v>
      </c>
      <c r="X268" s="17"/>
      <c r="Y268" s="25"/>
      <c r="Z268" s="25"/>
      <c r="AA268" s="25"/>
      <c r="AB268" s="25"/>
      <c r="AC268" s="25"/>
    </row>
    <row r="269" spans="1:29" x14ac:dyDescent="0.25">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737</v>
      </c>
      <c r="X269" s="17"/>
      <c r="Y269" s="25"/>
      <c r="Z269" s="25"/>
      <c r="AA269" s="25"/>
      <c r="AB269" s="25"/>
      <c r="AC269" s="25"/>
    </row>
    <row r="270" spans="1:29" x14ac:dyDescent="0.25">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738</v>
      </c>
      <c r="X270" s="17"/>
      <c r="Y270" s="25"/>
      <c r="Z270" s="25"/>
      <c r="AA270" s="25"/>
      <c r="AB270" s="25"/>
      <c r="AC270" s="25"/>
    </row>
    <row r="271" spans="1:29" x14ac:dyDescent="0.25">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739</v>
      </c>
      <c r="X271" s="17"/>
      <c r="Y271" s="25"/>
      <c r="Z271" s="25"/>
      <c r="AA271" s="25"/>
      <c r="AB271" s="25"/>
      <c r="AC271" s="25"/>
    </row>
    <row r="272" spans="1:29" x14ac:dyDescent="0.25">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740</v>
      </c>
      <c r="X272" s="17"/>
      <c r="Y272" s="25"/>
      <c r="Z272" s="25"/>
      <c r="AA272" s="25"/>
      <c r="AB272" s="25"/>
      <c r="AC272" s="25"/>
    </row>
    <row r="273" spans="1:29" x14ac:dyDescent="0.25">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741</v>
      </c>
      <c r="X273" s="17"/>
      <c r="Y273" s="25"/>
      <c r="Z273" s="25"/>
      <c r="AA273" s="25"/>
      <c r="AB273" s="25"/>
      <c r="AC273" s="25"/>
    </row>
    <row r="274" spans="1:29" x14ac:dyDescent="0.25">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742</v>
      </c>
      <c r="X274" s="17"/>
      <c r="Y274" s="25"/>
      <c r="Z274" s="25"/>
      <c r="AA274" s="25"/>
      <c r="AB274" s="25"/>
      <c r="AC274" s="25"/>
    </row>
    <row r="275" spans="1:29" x14ac:dyDescent="0.25">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743</v>
      </c>
      <c r="X275" s="17"/>
      <c r="Y275" s="25"/>
      <c r="Z275" s="25"/>
      <c r="AA275" s="25"/>
      <c r="AB275" s="25"/>
      <c r="AC275" s="25"/>
    </row>
    <row r="276" spans="1:29" x14ac:dyDescent="0.25">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744</v>
      </c>
      <c r="X276" s="17"/>
      <c r="Y276" s="25"/>
      <c r="Z276" s="25"/>
      <c r="AA276" s="25"/>
      <c r="AB276" s="25"/>
      <c r="AC276" s="25"/>
    </row>
    <row r="277" spans="1:29" x14ac:dyDescent="0.25">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745</v>
      </c>
      <c r="X277" s="17"/>
      <c r="Y277" s="25"/>
      <c r="Z277" s="25"/>
      <c r="AA277" s="25"/>
      <c r="AB277" s="25"/>
      <c r="AC277" s="25"/>
    </row>
    <row r="278" spans="1:29" x14ac:dyDescent="0.25">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746</v>
      </c>
      <c r="X278" s="17"/>
      <c r="Y278" s="25"/>
      <c r="Z278" s="25"/>
      <c r="AA278" s="25"/>
      <c r="AB278" s="25"/>
      <c r="AC278" s="25"/>
    </row>
    <row r="279" spans="1:29" x14ac:dyDescent="0.25">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747</v>
      </c>
      <c r="X279" s="17"/>
      <c r="Y279" s="25"/>
      <c r="Z279" s="25"/>
      <c r="AA279" s="25"/>
      <c r="AB279" s="25"/>
      <c r="AC279" s="25"/>
    </row>
    <row r="280" spans="1:29" x14ac:dyDescent="0.25">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748</v>
      </c>
      <c r="X280" s="17"/>
      <c r="Y280" s="25"/>
      <c r="Z280" s="25"/>
      <c r="AA280" s="25"/>
      <c r="AB280" s="25"/>
      <c r="AC280" s="25"/>
    </row>
    <row r="281" spans="1:29" x14ac:dyDescent="0.25">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749</v>
      </c>
      <c r="X281" s="17"/>
      <c r="Y281" s="25"/>
      <c r="Z281" s="25"/>
      <c r="AA281" s="25"/>
      <c r="AB281" s="25"/>
      <c r="AC281" s="25"/>
    </row>
    <row r="282" spans="1:29" x14ac:dyDescent="0.25">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750</v>
      </c>
      <c r="X282" s="17"/>
      <c r="Y282" s="25"/>
      <c r="Z282" s="25"/>
      <c r="AA282" s="25"/>
      <c r="AB282" s="25"/>
      <c r="AC282" s="25"/>
    </row>
    <row r="283" spans="1:29" x14ac:dyDescent="0.25">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751</v>
      </c>
      <c r="X283" s="17"/>
      <c r="Y283" s="25"/>
      <c r="Z283" s="25"/>
      <c r="AA283" s="25"/>
      <c r="AB283" s="25"/>
      <c r="AC283" s="25"/>
    </row>
    <row r="284" spans="1:29" x14ac:dyDescent="0.25">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752</v>
      </c>
      <c r="X284" s="17"/>
      <c r="Y284" s="25"/>
      <c r="Z284" s="25"/>
      <c r="AA284" s="25"/>
      <c r="AB284" s="25"/>
      <c r="AC284" s="25"/>
    </row>
    <row r="285" spans="1:29" x14ac:dyDescent="0.25">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753</v>
      </c>
      <c r="X285" s="17"/>
      <c r="Y285" s="25"/>
      <c r="Z285" s="25"/>
      <c r="AA285" s="25"/>
      <c r="AB285" s="25"/>
      <c r="AC285" s="25"/>
    </row>
    <row r="286" spans="1:29" x14ac:dyDescent="0.25">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754</v>
      </c>
      <c r="X286" s="17"/>
      <c r="Y286" s="25"/>
      <c r="Z286" s="25"/>
      <c r="AA286" s="25"/>
      <c r="AB286" s="25"/>
      <c r="AC286" s="25"/>
    </row>
    <row r="287" spans="1:29" x14ac:dyDescent="0.25">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755</v>
      </c>
      <c r="X287" s="17"/>
      <c r="Y287" s="25"/>
      <c r="Z287" s="25"/>
      <c r="AA287" s="25"/>
      <c r="AB287" s="25"/>
      <c r="AC287" s="25"/>
    </row>
    <row r="288" spans="1:29" x14ac:dyDescent="0.25">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756</v>
      </c>
      <c r="X288" s="17"/>
      <c r="Y288" s="25"/>
      <c r="Z288" s="25"/>
      <c r="AA288" s="25"/>
      <c r="AB288" s="25"/>
      <c r="AC288" s="25"/>
    </row>
    <row r="289" spans="1:29" x14ac:dyDescent="0.25">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757</v>
      </c>
      <c r="X289" s="17"/>
      <c r="Y289" s="25"/>
      <c r="Z289" s="25"/>
      <c r="AA289" s="25"/>
      <c r="AB289" s="25"/>
      <c r="AC289" s="25"/>
    </row>
    <row r="290" spans="1:29" x14ac:dyDescent="0.25">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758</v>
      </c>
      <c r="X290" s="17"/>
      <c r="Y290" s="25"/>
      <c r="Z290" s="25"/>
      <c r="AA290" s="25"/>
      <c r="AB290" s="25"/>
      <c r="AC290" s="25"/>
    </row>
    <row r="291" spans="1:29" x14ac:dyDescent="0.25">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759</v>
      </c>
      <c r="X291" s="17"/>
      <c r="Y291" s="25"/>
      <c r="Z291" s="25"/>
      <c r="AA291" s="25"/>
      <c r="AB291" s="25"/>
      <c r="AC291" s="25"/>
    </row>
    <row r="292" spans="1:29" x14ac:dyDescent="0.25">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760</v>
      </c>
      <c r="X292" s="17"/>
      <c r="Y292" s="25"/>
      <c r="Z292" s="25"/>
      <c r="AA292" s="25"/>
      <c r="AB292" s="25"/>
      <c r="AC292" s="25"/>
    </row>
    <row r="293" spans="1:29" x14ac:dyDescent="0.25">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761</v>
      </c>
      <c r="X293" s="17"/>
      <c r="Y293" s="25"/>
      <c r="Z293" s="25"/>
      <c r="AA293" s="25"/>
      <c r="AB293" s="25"/>
      <c r="AC293" s="25"/>
    </row>
    <row r="294" spans="1:29" x14ac:dyDescent="0.25">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762</v>
      </c>
      <c r="X294" s="17"/>
      <c r="Y294" s="25"/>
      <c r="Z294" s="25"/>
      <c r="AA294" s="25"/>
      <c r="AB294" s="25"/>
      <c r="AC294" s="25"/>
    </row>
    <row r="295" spans="1:29" x14ac:dyDescent="0.25">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763</v>
      </c>
      <c r="X295" s="17"/>
      <c r="Y295" s="25"/>
      <c r="Z295" s="25"/>
      <c r="AA295" s="25"/>
      <c r="AB295" s="25"/>
      <c r="AC295" s="25"/>
    </row>
    <row r="296" spans="1:29" x14ac:dyDescent="0.25">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764</v>
      </c>
      <c r="X296" s="17"/>
      <c r="Y296" s="25"/>
      <c r="Z296" s="25"/>
      <c r="AA296" s="25"/>
      <c r="AB296" s="25"/>
      <c r="AC296" s="25"/>
    </row>
    <row r="297" spans="1:29" x14ac:dyDescent="0.25">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765</v>
      </c>
      <c r="X297" s="17"/>
      <c r="Y297" s="25"/>
      <c r="Z297" s="25"/>
      <c r="AA297" s="25"/>
      <c r="AB297" s="25"/>
      <c r="AC297" s="25"/>
    </row>
    <row r="298" spans="1:29" x14ac:dyDescent="0.25">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766</v>
      </c>
      <c r="X298" s="17"/>
      <c r="Y298" s="25"/>
      <c r="Z298" s="25"/>
      <c r="AA298" s="25"/>
      <c r="AB298" s="25"/>
      <c r="AC298" s="25"/>
    </row>
    <row r="299" spans="1:29" x14ac:dyDescent="0.25">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767</v>
      </c>
      <c r="X299" s="17"/>
      <c r="Y299" s="25"/>
      <c r="Z299" s="25"/>
      <c r="AA299" s="25"/>
      <c r="AB299" s="25"/>
      <c r="AC299" s="25"/>
    </row>
    <row r="300" spans="1:29" x14ac:dyDescent="0.25">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768</v>
      </c>
      <c r="X300" s="17"/>
      <c r="Y300" s="25"/>
      <c r="Z300" s="25"/>
      <c r="AA300" s="25"/>
      <c r="AB300" s="25"/>
      <c r="AC300" s="25"/>
    </row>
    <row r="301" spans="1:29" x14ac:dyDescent="0.25">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769</v>
      </c>
      <c r="X301" s="17"/>
      <c r="Y301" s="25"/>
      <c r="Z301" s="25"/>
      <c r="AA301" s="25"/>
      <c r="AB301" s="25"/>
      <c r="AC301" s="25"/>
    </row>
    <row r="302" spans="1:29" x14ac:dyDescent="0.25">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770</v>
      </c>
      <c r="X302" s="17"/>
      <c r="Y302" s="25"/>
      <c r="Z302" s="25"/>
      <c r="AA302" s="25"/>
      <c r="AB302" s="25"/>
      <c r="AC302" s="25"/>
    </row>
    <row r="303" spans="1:29" x14ac:dyDescent="0.25">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771</v>
      </c>
      <c r="X303" s="17"/>
      <c r="Y303" s="25"/>
      <c r="Z303" s="25"/>
      <c r="AA303" s="25"/>
      <c r="AB303" s="25"/>
      <c r="AC303" s="25"/>
    </row>
    <row r="304" spans="1:29" x14ac:dyDescent="0.25">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772</v>
      </c>
      <c r="X304" s="17"/>
      <c r="Y304" s="25"/>
      <c r="Z304" s="25"/>
      <c r="AA304" s="25"/>
      <c r="AB304" s="25"/>
      <c r="AC304" s="25"/>
    </row>
    <row r="305" spans="1:29" x14ac:dyDescent="0.25">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773</v>
      </c>
      <c r="X305" s="17"/>
      <c r="Y305" s="25"/>
      <c r="Z305" s="25"/>
      <c r="AA305" s="25"/>
      <c r="AB305" s="25"/>
      <c r="AC305" s="25"/>
    </row>
    <row r="306" spans="1:29" x14ac:dyDescent="0.25">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774</v>
      </c>
      <c r="X306" s="17"/>
      <c r="Y306" s="25"/>
      <c r="Z306" s="25"/>
      <c r="AA306" s="25"/>
      <c r="AB306" s="25"/>
      <c r="AC306" s="25"/>
    </row>
    <row r="307" spans="1:29" x14ac:dyDescent="0.25">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775</v>
      </c>
      <c r="X307" s="17"/>
      <c r="Y307" s="25"/>
      <c r="Z307" s="25"/>
      <c r="AA307" s="25"/>
      <c r="AB307" s="25"/>
      <c r="AC307" s="25"/>
    </row>
    <row r="308" spans="1:29" x14ac:dyDescent="0.25">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776</v>
      </c>
      <c r="X308" s="17"/>
      <c r="Y308" s="25"/>
      <c r="Z308" s="25"/>
      <c r="AA308" s="25"/>
      <c r="AB308" s="25"/>
      <c r="AC308" s="25"/>
    </row>
    <row r="309" spans="1:29" x14ac:dyDescent="0.25">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777</v>
      </c>
      <c r="X309" s="17"/>
      <c r="Y309" s="25"/>
      <c r="Z309" s="25"/>
      <c r="AA309" s="25"/>
      <c r="AB309" s="25"/>
      <c r="AC309" s="25"/>
    </row>
    <row r="310" spans="1:29" x14ac:dyDescent="0.25">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778</v>
      </c>
      <c r="X310" s="17"/>
      <c r="Y310" s="25"/>
      <c r="Z310" s="25"/>
      <c r="AA310" s="25"/>
      <c r="AB310" s="25"/>
      <c r="AC310" s="25"/>
    </row>
    <row r="311" spans="1:29" x14ac:dyDescent="0.25">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779</v>
      </c>
      <c r="X311" s="17"/>
      <c r="Y311" s="25"/>
      <c r="Z311" s="25"/>
      <c r="AA311" s="25"/>
      <c r="AB311" s="25"/>
      <c r="AC311" s="25"/>
    </row>
    <row r="312" spans="1:29" x14ac:dyDescent="0.25">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780</v>
      </c>
      <c r="X312" s="17"/>
      <c r="Y312" s="25"/>
      <c r="Z312" s="25"/>
      <c r="AA312" s="25"/>
      <c r="AB312" s="25"/>
      <c r="AC312" s="25"/>
    </row>
    <row r="313" spans="1:29" x14ac:dyDescent="0.25">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781</v>
      </c>
      <c r="X313" s="17"/>
      <c r="Y313" s="25"/>
      <c r="Z313" s="25"/>
      <c r="AA313" s="25"/>
      <c r="AB313" s="25"/>
      <c r="AC313" s="25"/>
    </row>
    <row r="314" spans="1:29" x14ac:dyDescent="0.25">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782</v>
      </c>
      <c r="X314" s="17"/>
      <c r="Y314" s="25"/>
      <c r="Z314" s="25"/>
      <c r="AA314" s="25"/>
      <c r="AB314" s="25"/>
      <c r="AC314" s="25"/>
    </row>
    <row r="315" spans="1:29" x14ac:dyDescent="0.25">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783</v>
      </c>
      <c r="X315" s="17"/>
      <c r="Y315" s="25"/>
      <c r="Z315" s="25"/>
      <c r="AA315" s="25"/>
      <c r="AB315" s="25"/>
      <c r="AC315" s="25"/>
    </row>
    <row r="316" spans="1:29" x14ac:dyDescent="0.25">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784</v>
      </c>
      <c r="X316" s="17"/>
      <c r="Y316" s="25"/>
      <c r="Z316" s="25"/>
      <c r="AA316" s="25"/>
      <c r="AB316" s="25"/>
      <c r="AC316" s="25"/>
    </row>
    <row r="317" spans="1:29" x14ac:dyDescent="0.25">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785</v>
      </c>
      <c r="X317" s="17"/>
      <c r="Y317" s="25"/>
      <c r="Z317" s="25"/>
      <c r="AA317" s="25"/>
      <c r="AB317" s="25"/>
      <c r="AC317" s="25"/>
    </row>
    <row r="318" spans="1:29" x14ac:dyDescent="0.25">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786</v>
      </c>
      <c r="X318" s="17"/>
      <c r="Y318" s="25"/>
      <c r="Z318" s="25"/>
      <c r="AA318" s="25"/>
      <c r="AB318" s="25"/>
      <c r="AC318" s="25"/>
    </row>
    <row r="319" spans="1:29" x14ac:dyDescent="0.25">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787</v>
      </c>
      <c r="X319" s="17"/>
      <c r="Y319" s="25"/>
      <c r="Z319" s="25"/>
      <c r="AA319" s="25"/>
      <c r="AB319" s="25"/>
      <c r="AC319" s="25"/>
    </row>
    <row r="320" spans="1:29" x14ac:dyDescent="0.25">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788</v>
      </c>
      <c r="X320" s="17"/>
      <c r="Y320" s="25"/>
      <c r="Z320" s="25"/>
      <c r="AA320" s="25"/>
      <c r="AB320" s="25"/>
      <c r="AC320" s="25"/>
    </row>
    <row r="321" spans="1:29" x14ac:dyDescent="0.25">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789</v>
      </c>
      <c r="X321" s="17"/>
      <c r="Y321" s="25"/>
      <c r="Z321" s="25"/>
      <c r="AA321" s="25"/>
      <c r="AB321" s="25"/>
      <c r="AC321" s="25"/>
    </row>
    <row r="322" spans="1:29" x14ac:dyDescent="0.25">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790</v>
      </c>
      <c r="X322" s="17"/>
      <c r="Y322" s="25"/>
      <c r="Z322" s="25"/>
      <c r="AA322" s="25"/>
      <c r="AB322" s="25"/>
      <c r="AC322" s="25"/>
    </row>
    <row r="323" spans="1:29" x14ac:dyDescent="0.25">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791</v>
      </c>
      <c r="X323" s="17"/>
      <c r="Y323" s="25"/>
      <c r="Z323" s="25"/>
      <c r="AA323" s="25"/>
      <c r="AB323" s="25"/>
      <c r="AC323" s="25"/>
    </row>
    <row r="324" spans="1:29" x14ac:dyDescent="0.25">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792</v>
      </c>
      <c r="X324" s="17"/>
      <c r="Y324" s="25"/>
      <c r="Z324" s="25"/>
      <c r="AA324" s="25"/>
      <c r="AB324" s="25"/>
      <c r="AC324" s="25"/>
    </row>
    <row r="325" spans="1:29" x14ac:dyDescent="0.25">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793</v>
      </c>
      <c r="X325" s="17"/>
      <c r="Y325" s="25"/>
      <c r="Z325" s="25"/>
      <c r="AA325" s="25"/>
      <c r="AB325" s="25"/>
      <c r="AC325" s="25"/>
    </row>
    <row r="326" spans="1:29" x14ac:dyDescent="0.25">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794</v>
      </c>
      <c r="X326" s="17"/>
      <c r="Y326" s="25"/>
      <c r="Z326" s="25"/>
      <c r="AA326" s="25"/>
      <c r="AB326" s="25"/>
      <c r="AC326" s="25"/>
    </row>
    <row r="327" spans="1:29" x14ac:dyDescent="0.25">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795</v>
      </c>
      <c r="X327" s="17"/>
      <c r="Y327" s="25"/>
      <c r="Z327" s="25"/>
      <c r="AA327" s="25"/>
      <c r="AB327" s="25"/>
      <c r="AC327" s="25"/>
    </row>
    <row r="328" spans="1:29" x14ac:dyDescent="0.25">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796</v>
      </c>
      <c r="X328" s="17"/>
      <c r="Y328" s="25"/>
      <c r="Z328" s="25"/>
      <c r="AA328" s="25"/>
      <c r="AB328" s="25"/>
      <c r="AC328" s="25"/>
    </row>
    <row r="329" spans="1:29" x14ac:dyDescent="0.25">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797</v>
      </c>
      <c r="X329" s="17"/>
      <c r="Y329" s="25"/>
      <c r="Z329" s="25"/>
      <c r="AA329" s="25"/>
      <c r="AB329" s="25"/>
      <c r="AC329" s="25"/>
    </row>
    <row r="330" spans="1:29" x14ac:dyDescent="0.25">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798</v>
      </c>
      <c r="X330" s="17"/>
      <c r="Y330" s="25"/>
      <c r="Z330" s="25"/>
      <c r="AA330" s="25"/>
      <c r="AB330" s="25"/>
      <c r="AC330" s="25"/>
    </row>
    <row r="331" spans="1:29" x14ac:dyDescent="0.25">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799</v>
      </c>
      <c r="X331" s="17"/>
      <c r="Y331" s="25"/>
      <c r="Z331" s="25"/>
      <c r="AA331" s="25"/>
      <c r="AB331" s="25"/>
      <c r="AC331" s="25"/>
    </row>
    <row r="332" spans="1:29" x14ac:dyDescent="0.25">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800</v>
      </c>
      <c r="X332" s="17"/>
      <c r="Y332" s="25"/>
      <c r="Z332" s="25"/>
      <c r="AA332" s="25"/>
      <c r="AB332" s="25"/>
      <c r="AC332" s="25"/>
    </row>
    <row r="333" spans="1:29" x14ac:dyDescent="0.25">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801</v>
      </c>
      <c r="X333" s="17"/>
      <c r="Y333" s="25"/>
      <c r="Z333" s="25"/>
      <c r="AA333" s="25"/>
      <c r="AB333" s="25"/>
      <c r="AC333" s="25"/>
    </row>
    <row r="334" spans="1:29" x14ac:dyDescent="0.25">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802</v>
      </c>
      <c r="X334" s="17"/>
      <c r="Y334" s="25"/>
      <c r="Z334" s="25"/>
      <c r="AA334" s="25"/>
      <c r="AB334" s="25"/>
      <c r="AC334" s="25"/>
    </row>
    <row r="335" spans="1:29" x14ac:dyDescent="0.25">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803</v>
      </c>
      <c r="X335" s="17"/>
      <c r="Y335" s="25"/>
      <c r="Z335" s="25"/>
      <c r="AA335" s="25"/>
      <c r="AB335" s="25"/>
      <c r="AC335" s="25"/>
    </row>
    <row r="336" spans="1:29" x14ac:dyDescent="0.25">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804</v>
      </c>
      <c r="X336" s="17"/>
      <c r="Y336" s="25"/>
      <c r="Z336" s="25"/>
      <c r="AA336" s="25"/>
      <c r="AB336" s="25"/>
      <c r="AC336" s="25"/>
    </row>
    <row r="337" spans="1:29" x14ac:dyDescent="0.25">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805</v>
      </c>
      <c r="X337" s="17"/>
      <c r="Y337" s="25"/>
      <c r="Z337" s="25"/>
      <c r="AA337" s="25"/>
      <c r="AB337" s="25"/>
      <c r="AC337" s="25"/>
    </row>
    <row r="338" spans="1:29" x14ac:dyDescent="0.25">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806</v>
      </c>
      <c r="X338" s="17"/>
      <c r="Y338" s="25"/>
      <c r="Z338" s="25"/>
      <c r="AA338" s="25"/>
      <c r="AB338" s="25"/>
      <c r="AC338" s="25"/>
    </row>
    <row r="339" spans="1:29" x14ac:dyDescent="0.25">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807</v>
      </c>
      <c r="X339" s="17"/>
      <c r="Y339" s="25"/>
      <c r="Z339" s="25"/>
      <c r="AA339" s="25"/>
      <c r="AB339" s="25"/>
      <c r="AC339" s="25"/>
    </row>
    <row r="340" spans="1:29" x14ac:dyDescent="0.25">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808</v>
      </c>
      <c r="X340" s="17"/>
      <c r="Y340" s="25"/>
      <c r="Z340" s="25"/>
      <c r="AA340" s="25"/>
      <c r="AB340" s="25"/>
      <c r="AC340" s="25"/>
    </row>
    <row r="341" spans="1:29" x14ac:dyDescent="0.25">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809</v>
      </c>
      <c r="X341" s="17"/>
      <c r="Y341" s="25"/>
      <c r="Z341" s="25"/>
      <c r="AA341" s="25"/>
      <c r="AB341" s="25"/>
      <c r="AC341" s="25"/>
    </row>
    <row r="342" spans="1:29" x14ac:dyDescent="0.25">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810</v>
      </c>
      <c r="X342" s="17"/>
      <c r="Y342" s="25"/>
      <c r="Z342" s="25"/>
      <c r="AA342" s="25"/>
      <c r="AB342" s="25"/>
      <c r="AC342" s="25"/>
    </row>
    <row r="343" spans="1:29" x14ac:dyDescent="0.25">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811</v>
      </c>
      <c r="X343" s="17"/>
      <c r="Y343" s="25"/>
      <c r="Z343" s="25"/>
      <c r="AA343" s="25"/>
      <c r="AB343" s="25"/>
      <c r="AC343" s="25"/>
    </row>
    <row r="344" spans="1:29" x14ac:dyDescent="0.25">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812</v>
      </c>
      <c r="X344" s="17"/>
      <c r="Y344" s="25"/>
      <c r="Z344" s="25"/>
      <c r="AA344" s="25"/>
      <c r="AB344" s="25"/>
      <c r="AC344" s="25"/>
    </row>
    <row r="345" spans="1:29" x14ac:dyDescent="0.25">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813</v>
      </c>
      <c r="X345" s="17"/>
      <c r="Y345" s="25"/>
      <c r="Z345" s="25"/>
      <c r="AA345" s="25"/>
      <c r="AB345" s="25"/>
      <c r="AC345" s="25"/>
    </row>
    <row r="346" spans="1:29" x14ac:dyDescent="0.25">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814</v>
      </c>
      <c r="X346" s="17"/>
      <c r="Y346" s="25"/>
      <c r="Z346" s="25"/>
      <c r="AA346" s="25"/>
      <c r="AB346" s="25"/>
      <c r="AC346" s="25"/>
    </row>
    <row r="347" spans="1:29" x14ac:dyDescent="0.25">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815</v>
      </c>
      <c r="X347" s="17"/>
      <c r="Y347" s="25"/>
      <c r="Z347" s="25"/>
      <c r="AA347" s="25"/>
      <c r="AB347" s="25"/>
      <c r="AC347" s="25"/>
    </row>
    <row r="348" spans="1:29" x14ac:dyDescent="0.25">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816</v>
      </c>
      <c r="X348" s="17"/>
      <c r="Y348" s="25"/>
      <c r="Z348" s="25"/>
      <c r="AA348" s="25"/>
      <c r="AB348" s="25"/>
      <c r="AC348" s="25"/>
    </row>
    <row r="349" spans="1:29" x14ac:dyDescent="0.25">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817</v>
      </c>
      <c r="X349" s="17"/>
      <c r="Y349" s="25"/>
      <c r="Z349" s="25"/>
      <c r="AA349" s="25"/>
      <c r="AB349" s="25"/>
      <c r="AC349" s="25"/>
    </row>
    <row r="350" spans="1:29" x14ac:dyDescent="0.25">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818</v>
      </c>
      <c r="X350" s="17"/>
      <c r="Y350" s="25"/>
      <c r="Z350" s="25"/>
      <c r="AA350" s="25"/>
      <c r="AB350" s="25"/>
      <c r="AC350" s="25"/>
    </row>
    <row r="351" spans="1:29" x14ac:dyDescent="0.25">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819</v>
      </c>
      <c r="X351" s="17"/>
      <c r="Y351" s="25"/>
      <c r="Z351" s="25"/>
      <c r="AA351" s="25"/>
      <c r="AB351" s="25"/>
      <c r="AC351" s="25"/>
    </row>
    <row r="352" spans="1:29" x14ac:dyDescent="0.25">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820</v>
      </c>
      <c r="X352" s="17"/>
      <c r="Y352" s="25"/>
      <c r="Z352" s="25"/>
      <c r="AA352" s="25"/>
      <c r="AB352" s="25"/>
      <c r="AC352" s="25"/>
    </row>
    <row r="353" spans="1:29" x14ac:dyDescent="0.25">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821</v>
      </c>
      <c r="X353" s="17"/>
      <c r="Y353" s="25"/>
      <c r="Z353" s="25"/>
      <c r="AA353" s="25"/>
      <c r="AB353" s="25"/>
      <c r="AC353" s="25"/>
    </row>
    <row r="354" spans="1:29" x14ac:dyDescent="0.25">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822</v>
      </c>
      <c r="X354" s="17"/>
      <c r="Y354" s="25"/>
      <c r="Z354" s="25"/>
      <c r="AA354" s="25"/>
      <c r="AB354" s="25"/>
      <c r="AC354" s="25"/>
    </row>
    <row r="355" spans="1:29"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823</v>
      </c>
      <c r="X355" s="17"/>
      <c r="Y355" s="25"/>
      <c r="Z355" s="25"/>
      <c r="AA355" s="25"/>
      <c r="AB355" s="25"/>
      <c r="AC355" s="25"/>
    </row>
    <row r="356" spans="1:29" x14ac:dyDescent="0.25">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824</v>
      </c>
      <c r="X356" s="17"/>
      <c r="Y356" s="25"/>
      <c r="Z356" s="25"/>
      <c r="AA356" s="25"/>
      <c r="AB356" s="25"/>
      <c r="AC356" s="25"/>
    </row>
    <row r="357" spans="1:29" x14ac:dyDescent="0.25">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825</v>
      </c>
      <c r="X357" s="17"/>
      <c r="Y357" s="25"/>
      <c r="Z357" s="25"/>
      <c r="AA357" s="25"/>
      <c r="AB357" s="25"/>
      <c r="AC357" s="25"/>
    </row>
    <row r="358" spans="1:29" x14ac:dyDescent="0.25">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826</v>
      </c>
      <c r="X358" s="17"/>
      <c r="Y358" s="25"/>
      <c r="Z358" s="25"/>
      <c r="AA358" s="25"/>
      <c r="AB358" s="25"/>
      <c r="AC358" s="25"/>
    </row>
    <row r="359" spans="1:29" x14ac:dyDescent="0.25">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827</v>
      </c>
      <c r="X359" s="17"/>
      <c r="Y359" s="25"/>
      <c r="Z359" s="25"/>
      <c r="AA359" s="25"/>
      <c r="AB359" s="25"/>
      <c r="AC359" s="25"/>
    </row>
    <row r="360" spans="1:29" x14ac:dyDescent="0.25">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828</v>
      </c>
      <c r="X360" s="17"/>
      <c r="Y360" s="25"/>
      <c r="Z360" s="25"/>
      <c r="AA360" s="25"/>
      <c r="AB360" s="25"/>
      <c r="AC360" s="25"/>
    </row>
    <row r="361" spans="1:29" x14ac:dyDescent="0.25">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829</v>
      </c>
      <c r="X361" s="17"/>
      <c r="Y361" s="25"/>
      <c r="Z361" s="25"/>
      <c r="AA361" s="25"/>
      <c r="AB361" s="25"/>
      <c r="AC361" s="25"/>
    </row>
    <row r="362" spans="1:29" x14ac:dyDescent="0.25">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830</v>
      </c>
      <c r="X362" s="17"/>
      <c r="Y362" s="25"/>
      <c r="Z362" s="25"/>
      <c r="AA362" s="25"/>
      <c r="AB362" s="25"/>
      <c r="AC362" s="25"/>
    </row>
    <row r="363" spans="1:29" x14ac:dyDescent="0.25">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831</v>
      </c>
      <c r="X363" s="17"/>
      <c r="Y363" s="25"/>
      <c r="Z363" s="25"/>
      <c r="AA363" s="25"/>
      <c r="AB363" s="25"/>
      <c r="AC363" s="25"/>
    </row>
    <row r="364" spans="1:29" x14ac:dyDescent="0.25">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832</v>
      </c>
      <c r="X364" s="17"/>
      <c r="Y364" s="25"/>
      <c r="Z364" s="25"/>
      <c r="AA364" s="25"/>
      <c r="AB364" s="25"/>
      <c r="AC364" s="25"/>
    </row>
    <row r="365" spans="1:29" x14ac:dyDescent="0.25">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833</v>
      </c>
      <c r="X365" s="17"/>
      <c r="Y365" s="25"/>
      <c r="Z365" s="25"/>
      <c r="AA365" s="25"/>
      <c r="AB365" s="25"/>
      <c r="AC365" s="25"/>
    </row>
    <row r="366" spans="1:29" x14ac:dyDescent="0.25">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834</v>
      </c>
      <c r="X366" s="17"/>
      <c r="Y366" s="25"/>
      <c r="Z366" s="25"/>
      <c r="AA366" s="25"/>
      <c r="AB366" s="25"/>
      <c r="AC366" s="25"/>
    </row>
    <row r="367" spans="1:29" x14ac:dyDescent="0.25">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835</v>
      </c>
      <c r="X367" s="17"/>
      <c r="Y367" s="25"/>
      <c r="Z367" s="25"/>
      <c r="AA367" s="25"/>
      <c r="AB367" s="25"/>
      <c r="AC367" s="25"/>
    </row>
    <row r="368" spans="1:29" x14ac:dyDescent="0.25">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836</v>
      </c>
      <c r="X368" s="17"/>
      <c r="Y368" s="25"/>
      <c r="Z368" s="25"/>
      <c r="AA368" s="25"/>
      <c r="AB368" s="25"/>
      <c r="AC368" s="25"/>
    </row>
    <row r="369" spans="1:29" x14ac:dyDescent="0.25">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837</v>
      </c>
      <c r="X369" s="17"/>
      <c r="Y369" s="25"/>
      <c r="Z369" s="25"/>
      <c r="AA369" s="25"/>
      <c r="AB369" s="25"/>
      <c r="AC369" s="25"/>
    </row>
    <row r="370" spans="1:29" x14ac:dyDescent="0.25">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838</v>
      </c>
      <c r="X370" s="17"/>
      <c r="Y370" s="25"/>
      <c r="Z370" s="25"/>
      <c r="AA370" s="25"/>
      <c r="AB370" s="25"/>
      <c r="AC370" s="25"/>
    </row>
    <row r="371" spans="1:29" x14ac:dyDescent="0.25">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839</v>
      </c>
      <c r="X371" s="17"/>
      <c r="Y371" s="25"/>
      <c r="Z371" s="25"/>
      <c r="AA371" s="25"/>
      <c r="AB371" s="25"/>
      <c r="AC371" s="25"/>
    </row>
    <row r="372" spans="1:29" x14ac:dyDescent="0.25">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840</v>
      </c>
      <c r="X372" s="17"/>
      <c r="Y372" s="25"/>
      <c r="Z372" s="25"/>
      <c r="AA372" s="25"/>
      <c r="AB372" s="25"/>
      <c r="AC372" s="25"/>
    </row>
    <row r="373" spans="1:29" x14ac:dyDescent="0.25">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841</v>
      </c>
      <c r="X373" s="17"/>
      <c r="Y373" s="25"/>
      <c r="Z373" s="25"/>
      <c r="AA373" s="25"/>
      <c r="AB373" s="25"/>
      <c r="AC373" s="25"/>
    </row>
    <row r="374" spans="1:29" x14ac:dyDescent="0.25">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842</v>
      </c>
      <c r="X374" s="17"/>
      <c r="Y374" s="25"/>
      <c r="Z374" s="25"/>
      <c r="AA374" s="25"/>
      <c r="AB374" s="25"/>
      <c r="AC374" s="25"/>
    </row>
    <row r="375" spans="1:29" x14ac:dyDescent="0.25">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843</v>
      </c>
      <c r="X375" s="17"/>
      <c r="Y375" s="25"/>
      <c r="Z375" s="25"/>
      <c r="AA375" s="25"/>
      <c r="AB375" s="25"/>
      <c r="AC375" s="25"/>
    </row>
    <row r="376" spans="1:29" x14ac:dyDescent="0.25">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844</v>
      </c>
      <c r="X376" s="17"/>
      <c r="Y376" s="25"/>
      <c r="Z376" s="25"/>
      <c r="AA376" s="25"/>
      <c r="AB376" s="25"/>
      <c r="AC376" s="25"/>
    </row>
    <row r="377" spans="1:29" x14ac:dyDescent="0.25">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845</v>
      </c>
      <c r="X377" s="17"/>
      <c r="Y377" s="25"/>
      <c r="Z377" s="25"/>
      <c r="AA377" s="25"/>
      <c r="AB377" s="25"/>
      <c r="AC377" s="25"/>
    </row>
    <row r="378" spans="1:29" x14ac:dyDescent="0.25">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846</v>
      </c>
      <c r="X378" s="17"/>
      <c r="Y378" s="25"/>
      <c r="Z378" s="25"/>
      <c r="AA378" s="25"/>
      <c r="AB378" s="25"/>
      <c r="AC378" s="25"/>
    </row>
    <row r="379" spans="1:29" x14ac:dyDescent="0.25">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847</v>
      </c>
      <c r="X379" s="17"/>
      <c r="Y379" s="25"/>
      <c r="Z379" s="25"/>
      <c r="AA379" s="25"/>
      <c r="AB379" s="25"/>
      <c r="AC379" s="25"/>
    </row>
    <row r="380" spans="1:29" x14ac:dyDescent="0.25">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848</v>
      </c>
      <c r="X380" s="17"/>
      <c r="Y380" s="25"/>
      <c r="Z380" s="25"/>
      <c r="AA380" s="25"/>
      <c r="AB380" s="25"/>
      <c r="AC380" s="25"/>
    </row>
    <row r="381" spans="1:29" x14ac:dyDescent="0.25">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849</v>
      </c>
      <c r="X381" s="17"/>
      <c r="Y381" s="25"/>
      <c r="Z381" s="25"/>
      <c r="AA381" s="25"/>
      <c r="AB381" s="25"/>
      <c r="AC381" s="25"/>
    </row>
    <row r="382" spans="1:29" x14ac:dyDescent="0.25">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850</v>
      </c>
      <c r="X382" s="17"/>
      <c r="Y382" s="25"/>
      <c r="Z382" s="25"/>
      <c r="AA382" s="25"/>
      <c r="AB382" s="25"/>
      <c r="AC382" s="25"/>
    </row>
    <row r="383" spans="1:29" x14ac:dyDescent="0.25">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851</v>
      </c>
      <c r="X383" s="17"/>
      <c r="Y383" s="25"/>
      <c r="Z383" s="25"/>
      <c r="AA383" s="25"/>
      <c r="AB383" s="25"/>
      <c r="AC383" s="25"/>
    </row>
    <row r="384" spans="1:29" x14ac:dyDescent="0.25">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852</v>
      </c>
      <c r="X384" s="17"/>
      <c r="Y384" s="25"/>
      <c r="Z384" s="25"/>
      <c r="AA384" s="25"/>
      <c r="AB384" s="25"/>
      <c r="AC384" s="25"/>
    </row>
    <row r="385" spans="1:29" x14ac:dyDescent="0.25">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853</v>
      </c>
      <c r="X385" s="17"/>
      <c r="Y385" s="25"/>
      <c r="Z385" s="25"/>
      <c r="AA385" s="25"/>
      <c r="AB385" s="25"/>
      <c r="AC385" s="25"/>
    </row>
    <row r="386" spans="1:29" x14ac:dyDescent="0.25">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854</v>
      </c>
      <c r="X386" s="17"/>
      <c r="Y386" s="25"/>
      <c r="Z386" s="25"/>
      <c r="AA386" s="25"/>
      <c r="AB386" s="25"/>
      <c r="AC386" s="25"/>
    </row>
    <row r="387" spans="1:29" x14ac:dyDescent="0.25">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855</v>
      </c>
      <c r="X387" s="17"/>
      <c r="Y387" s="25"/>
      <c r="Z387" s="25"/>
      <c r="AA387" s="25"/>
      <c r="AB387" s="25"/>
      <c r="AC387" s="25"/>
    </row>
    <row r="388" spans="1:29" x14ac:dyDescent="0.25">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856</v>
      </c>
      <c r="X388" s="17"/>
      <c r="Y388" s="25"/>
      <c r="Z388" s="25"/>
      <c r="AA388" s="25"/>
      <c r="AB388" s="25"/>
      <c r="AC388" s="25"/>
    </row>
    <row r="389" spans="1:29" x14ac:dyDescent="0.25">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857</v>
      </c>
      <c r="X389" s="17"/>
      <c r="Y389" s="25"/>
      <c r="Z389" s="25"/>
      <c r="AA389" s="25"/>
      <c r="AB389" s="25"/>
      <c r="AC389" s="25"/>
    </row>
    <row r="390" spans="1:29" x14ac:dyDescent="0.25">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858</v>
      </c>
      <c r="X390" s="17"/>
      <c r="Y390" s="25"/>
      <c r="Z390" s="25"/>
      <c r="AA390" s="25"/>
      <c r="AB390" s="25"/>
      <c r="AC390" s="25"/>
    </row>
    <row r="391" spans="1:29" x14ac:dyDescent="0.25">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859</v>
      </c>
      <c r="X391" s="17"/>
      <c r="Y391" s="25"/>
      <c r="Z391" s="25"/>
      <c r="AA391" s="25"/>
      <c r="AB391" s="25"/>
      <c r="AC391" s="25"/>
    </row>
    <row r="392" spans="1:29" x14ac:dyDescent="0.25">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860</v>
      </c>
      <c r="X392" s="17"/>
      <c r="Y392" s="25"/>
      <c r="Z392" s="25"/>
      <c r="AA392" s="25"/>
      <c r="AB392" s="25"/>
      <c r="AC392" s="25"/>
    </row>
    <row r="393" spans="1:29" x14ac:dyDescent="0.25">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861</v>
      </c>
      <c r="X393" s="17"/>
      <c r="Y393" s="25"/>
      <c r="Z393" s="25"/>
      <c r="AA393" s="25"/>
      <c r="AB393" s="25"/>
      <c r="AC393" s="25"/>
    </row>
    <row r="394" spans="1:29" x14ac:dyDescent="0.25">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862</v>
      </c>
      <c r="X394" s="17"/>
      <c r="Y394" s="25"/>
      <c r="Z394" s="25"/>
      <c r="AA394" s="25"/>
      <c r="AB394" s="25"/>
      <c r="AC394" s="25"/>
    </row>
    <row r="395" spans="1:29" x14ac:dyDescent="0.25">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863</v>
      </c>
      <c r="X395" s="17"/>
      <c r="Y395" s="25"/>
      <c r="Z395" s="25"/>
      <c r="AA395" s="25"/>
      <c r="AB395" s="25"/>
      <c r="AC395" s="25"/>
    </row>
    <row r="396" spans="1:29" x14ac:dyDescent="0.25">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864</v>
      </c>
      <c r="X396" s="17"/>
      <c r="Y396" s="25"/>
      <c r="Z396" s="25"/>
      <c r="AA396" s="25"/>
      <c r="AB396" s="25"/>
      <c r="AC396" s="25"/>
    </row>
    <row r="397" spans="1:29" x14ac:dyDescent="0.25">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865</v>
      </c>
      <c r="X397" s="17"/>
      <c r="Y397" s="25"/>
      <c r="Z397" s="25"/>
      <c r="AA397" s="25"/>
      <c r="AB397" s="25"/>
      <c r="AC397" s="25"/>
    </row>
    <row r="398" spans="1:29" x14ac:dyDescent="0.25">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866</v>
      </c>
      <c r="X398" s="17"/>
      <c r="Y398" s="25"/>
      <c r="Z398" s="25"/>
      <c r="AA398" s="25"/>
      <c r="AB398" s="25"/>
      <c r="AC398" s="25"/>
    </row>
    <row r="399" spans="1:29" x14ac:dyDescent="0.25">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867</v>
      </c>
      <c r="X399" s="17"/>
      <c r="Y399" s="25"/>
      <c r="Z399" s="25"/>
      <c r="AA399" s="25"/>
      <c r="AB399" s="25"/>
      <c r="AC399" s="25"/>
    </row>
    <row r="400" spans="1:29" x14ac:dyDescent="0.25">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868</v>
      </c>
      <c r="X400" s="17"/>
      <c r="Y400" s="25"/>
      <c r="Z400" s="25"/>
      <c r="AA400" s="25"/>
      <c r="AB400" s="25"/>
      <c r="AC400" s="25"/>
    </row>
    <row r="401" spans="1:29" x14ac:dyDescent="0.25">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869</v>
      </c>
      <c r="X401" s="17"/>
      <c r="Y401" s="25"/>
      <c r="Z401" s="25"/>
      <c r="AA401" s="25"/>
      <c r="AB401" s="25"/>
      <c r="AC401" s="25"/>
    </row>
    <row r="402" spans="1:29" x14ac:dyDescent="0.25">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870</v>
      </c>
      <c r="X402" s="17"/>
      <c r="Y402" s="25"/>
      <c r="Z402" s="25"/>
      <c r="AA402" s="25"/>
      <c r="AB402" s="25"/>
      <c r="AC402" s="25"/>
    </row>
    <row r="403" spans="1:29" x14ac:dyDescent="0.25">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871</v>
      </c>
      <c r="X403" s="17"/>
      <c r="Y403" s="25"/>
      <c r="Z403" s="25"/>
      <c r="AA403" s="25"/>
      <c r="AB403" s="25"/>
      <c r="AC403" s="25"/>
    </row>
    <row r="404" spans="1:29" x14ac:dyDescent="0.25">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872</v>
      </c>
      <c r="X404" s="17"/>
      <c r="Y404" s="25"/>
      <c r="Z404" s="25"/>
      <c r="AA404" s="25"/>
      <c r="AB404" s="25"/>
      <c r="AC404" s="25"/>
    </row>
    <row r="405" spans="1:29" x14ac:dyDescent="0.25">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873</v>
      </c>
      <c r="X405" s="17"/>
      <c r="Y405" s="25"/>
      <c r="Z405" s="25"/>
      <c r="AA405" s="25"/>
      <c r="AB405" s="25"/>
      <c r="AC405" s="25"/>
    </row>
    <row r="406" spans="1:29" x14ac:dyDescent="0.25">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874</v>
      </c>
      <c r="X406" s="17"/>
      <c r="Y406" s="25"/>
      <c r="Z406" s="25"/>
      <c r="AA406" s="25"/>
      <c r="AB406" s="25"/>
      <c r="AC406" s="25"/>
    </row>
    <row r="407" spans="1:29" x14ac:dyDescent="0.25">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875</v>
      </c>
      <c r="X407" s="17"/>
      <c r="Y407" s="25"/>
      <c r="Z407" s="25"/>
      <c r="AA407" s="25"/>
      <c r="AB407" s="25"/>
      <c r="AC407" s="25"/>
    </row>
    <row r="408" spans="1:29" x14ac:dyDescent="0.25">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876</v>
      </c>
      <c r="X408" s="17"/>
      <c r="Y408" s="25"/>
      <c r="Z408" s="25"/>
      <c r="AA408" s="25"/>
      <c r="AB408" s="25"/>
      <c r="AC408" s="25"/>
    </row>
    <row r="409" spans="1:29" x14ac:dyDescent="0.25">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877</v>
      </c>
      <c r="X409" s="17"/>
      <c r="Y409" s="25"/>
      <c r="Z409" s="25"/>
      <c r="AA409" s="25"/>
      <c r="AB409" s="25"/>
      <c r="AC409" s="25"/>
    </row>
    <row r="410" spans="1:29" x14ac:dyDescent="0.25">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878</v>
      </c>
      <c r="X410" s="17"/>
      <c r="Y410" s="25"/>
      <c r="Z410" s="25"/>
      <c r="AA410" s="25"/>
      <c r="AB410" s="25"/>
      <c r="AC410" s="25"/>
    </row>
    <row r="411" spans="1:29" x14ac:dyDescent="0.25">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879</v>
      </c>
      <c r="X411" s="17"/>
      <c r="Y411" s="25"/>
      <c r="Z411" s="25"/>
      <c r="AA411" s="25"/>
      <c r="AB411" s="25"/>
      <c r="AC411" s="25"/>
    </row>
    <row r="412" spans="1:29" x14ac:dyDescent="0.25">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880</v>
      </c>
      <c r="X412" s="17"/>
      <c r="Y412" s="25"/>
      <c r="Z412" s="25"/>
      <c r="AA412" s="25"/>
      <c r="AB412" s="25"/>
      <c r="AC412" s="25"/>
    </row>
    <row r="413" spans="1:29" x14ac:dyDescent="0.25">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x14ac:dyDescent="0.25">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x14ac:dyDescent="0.25">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x14ac:dyDescent="0.25">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gkpQGb5xsjogus0z1fAi+McViUuQ0WpgJ9ExSimLrBSvSNHgDy20whmrCUIv2LP/bEX86DK+o58/Ot0h3gc8oQ==" saltValue="eANOEh+L+BMgGykZEexaK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x14ac:dyDescent="0.25"/>
  <cols>
    <col min="1" max="1" width="3.28515625" customWidth="1"/>
    <col min="2" max="2" width="24.42578125" bestFit="1" customWidth="1"/>
    <col min="3" max="3" width="34.28515625" bestFit="1" customWidth="1"/>
    <col min="4" max="4" width="41.7109375" bestFit="1" customWidth="1"/>
    <col min="5" max="5" width="50.28515625" customWidth="1"/>
    <col min="6" max="6" width="20.42578125" customWidth="1"/>
    <col min="7" max="8" width="8.7109375" customWidth="1"/>
    <col min="9" max="16384" width="8.7109375" hidden="1"/>
  </cols>
  <sheetData>
    <row r="1" spans="1:8" ht="15.75" thickBot="1" x14ac:dyDescent="0.3">
      <c r="A1" s="60"/>
      <c r="B1" s="60"/>
      <c r="C1" s="60"/>
      <c r="D1" s="60"/>
      <c r="E1" s="60"/>
      <c r="F1" s="60"/>
      <c r="G1" s="60"/>
      <c r="H1" s="60"/>
    </row>
    <row r="2" spans="1:8" ht="19.149999999999999" customHeight="1" thickBot="1" x14ac:dyDescent="0.3">
      <c r="A2" s="25"/>
      <c r="B2" s="256" t="s">
        <v>881</v>
      </c>
      <c r="C2" s="257" t="s">
        <v>882</v>
      </c>
      <c r="D2" s="257" t="s">
        <v>883</v>
      </c>
      <c r="E2" s="258" t="s">
        <v>884</v>
      </c>
      <c r="F2" s="259" t="s">
        <v>94</v>
      </c>
      <c r="G2" s="60"/>
      <c r="H2" s="60"/>
    </row>
    <row r="3" spans="1:8" ht="21.6" customHeight="1" thickBot="1" x14ac:dyDescent="0.3">
      <c r="A3" s="25"/>
      <c r="B3" s="252" t="s">
        <v>885</v>
      </c>
      <c r="C3" s="260" t="s">
        <v>886</v>
      </c>
      <c r="D3" s="260" t="s">
        <v>887</v>
      </c>
      <c r="E3" s="253" t="s">
        <v>888</v>
      </c>
      <c r="F3" s="254" t="s">
        <v>214</v>
      </c>
      <c r="G3" s="25"/>
      <c r="H3" s="25"/>
    </row>
    <row r="4" spans="1:8" x14ac:dyDescent="0.25">
      <c r="A4" s="25"/>
      <c r="B4" s="1047" t="s">
        <v>211</v>
      </c>
      <c r="C4" s="1050" t="s">
        <v>211</v>
      </c>
      <c r="D4" s="261" t="s">
        <v>889</v>
      </c>
      <c r="E4" s="243" t="s">
        <v>310</v>
      </c>
      <c r="F4" s="244" t="s">
        <v>212</v>
      </c>
      <c r="G4" s="25"/>
      <c r="H4" s="25"/>
    </row>
    <row r="5" spans="1:8" x14ac:dyDescent="0.25">
      <c r="A5" s="25"/>
      <c r="B5" s="1048"/>
      <c r="C5" s="1051"/>
      <c r="D5" s="7" t="s">
        <v>890</v>
      </c>
      <c r="E5" s="9" t="s">
        <v>891</v>
      </c>
      <c r="F5" s="245" t="s">
        <v>212</v>
      </c>
      <c r="G5" s="25"/>
      <c r="H5" s="25"/>
    </row>
    <row r="6" spans="1:8" x14ac:dyDescent="0.25">
      <c r="A6" s="25"/>
      <c r="B6" s="1048"/>
      <c r="C6" s="1051"/>
      <c r="D6" s="7" t="s">
        <v>892</v>
      </c>
      <c r="E6" s="9" t="s">
        <v>315</v>
      </c>
      <c r="F6" s="245" t="s">
        <v>212</v>
      </c>
      <c r="G6" s="25"/>
      <c r="H6" s="25"/>
    </row>
    <row r="7" spans="1:8" x14ac:dyDescent="0.25">
      <c r="A7" s="25"/>
      <c r="B7" s="1048"/>
      <c r="C7" s="1051"/>
      <c r="D7" s="7" t="s">
        <v>893</v>
      </c>
      <c r="E7" s="9" t="s">
        <v>316</v>
      </c>
      <c r="F7" s="245" t="s">
        <v>212</v>
      </c>
      <c r="G7" s="25"/>
      <c r="H7" s="25"/>
    </row>
    <row r="8" spans="1:8" x14ac:dyDescent="0.25">
      <c r="A8" s="25"/>
      <c r="B8" s="1048"/>
      <c r="C8" s="1051" t="s">
        <v>894</v>
      </c>
      <c r="D8" s="7" t="s">
        <v>895</v>
      </c>
      <c r="E8" s="9" t="s">
        <v>305</v>
      </c>
      <c r="F8" s="249" t="s">
        <v>214</v>
      </c>
      <c r="G8" s="25"/>
      <c r="H8" s="25"/>
    </row>
    <row r="9" spans="1:8" x14ac:dyDescent="0.25">
      <c r="A9" s="25"/>
      <c r="B9" s="1048"/>
      <c r="C9" s="1051"/>
      <c r="D9" s="7" t="s">
        <v>896</v>
      </c>
      <c r="E9" s="9" t="s">
        <v>307</v>
      </c>
      <c r="F9" s="249" t="s">
        <v>214</v>
      </c>
      <c r="G9" s="25"/>
      <c r="H9" s="25"/>
    </row>
    <row r="10" spans="1:8" x14ac:dyDescent="0.25">
      <c r="A10" s="25"/>
      <c r="B10" s="1048"/>
      <c r="C10" s="1051"/>
      <c r="D10" s="7" t="s">
        <v>897</v>
      </c>
      <c r="E10" s="9" t="s">
        <v>898</v>
      </c>
      <c r="F10" s="249" t="s">
        <v>214</v>
      </c>
      <c r="G10" s="25"/>
      <c r="H10" s="25"/>
    </row>
    <row r="11" spans="1:8" x14ac:dyDescent="0.25">
      <c r="A11" s="25"/>
      <c r="B11" s="1048"/>
      <c r="C11" s="1051"/>
      <c r="D11" s="7" t="s">
        <v>899</v>
      </c>
      <c r="E11" s="9" t="s">
        <v>309</v>
      </c>
      <c r="F11" s="249" t="s">
        <v>214</v>
      </c>
      <c r="G11" s="25"/>
      <c r="H11" s="25"/>
    </row>
    <row r="12" spans="1:8" x14ac:dyDescent="0.25">
      <c r="A12" s="25"/>
      <c r="B12" s="1048"/>
      <c r="C12" s="1051"/>
      <c r="D12" s="7" t="s">
        <v>900</v>
      </c>
      <c r="E12" s="9" t="s">
        <v>901</v>
      </c>
      <c r="F12" s="249" t="s">
        <v>214</v>
      </c>
      <c r="G12" s="25"/>
      <c r="H12" s="25"/>
    </row>
    <row r="13" spans="1:8" x14ac:dyDescent="0.25">
      <c r="A13" s="25"/>
      <c r="B13" s="1048"/>
      <c r="C13" s="7" t="s">
        <v>313</v>
      </c>
      <c r="D13" s="7" t="s">
        <v>902</v>
      </c>
      <c r="E13" s="9" t="s">
        <v>313</v>
      </c>
      <c r="F13" s="245" t="s">
        <v>212</v>
      </c>
      <c r="G13" s="25"/>
      <c r="H13" s="25"/>
    </row>
    <row r="14" spans="1:8" ht="15.75" thickBot="1" x14ac:dyDescent="0.3">
      <c r="A14" s="25"/>
      <c r="B14" s="1049"/>
      <c r="C14" s="233" t="s">
        <v>903</v>
      </c>
      <c r="D14" s="233" t="s">
        <v>904</v>
      </c>
      <c r="E14" s="246" t="s">
        <v>314</v>
      </c>
      <c r="F14" s="247" t="s">
        <v>212</v>
      </c>
      <c r="G14" s="25"/>
      <c r="H14" s="25"/>
    </row>
    <row r="15" spans="1:8" x14ac:dyDescent="0.25">
      <c r="A15" s="25"/>
      <c r="B15" s="1047" t="s">
        <v>905</v>
      </c>
      <c r="C15" s="261" t="s">
        <v>906</v>
      </c>
      <c r="D15" s="261" t="s">
        <v>907</v>
      </c>
      <c r="E15" s="243" t="s">
        <v>318</v>
      </c>
      <c r="F15" s="244" t="s">
        <v>212</v>
      </c>
      <c r="G15" s="25"/>
      <c r="H15" s="25"/>
    </row>
    <row r="16" spans="1:8" x14ac:dyDescent="0.25">
      <c r="A16" s="25"/>
      <c r="B16" s="1048"/>
      <c r="C16" s="7" t="s">
        <v>317</v>
      </c>
      <c r="D16" s="7" t="s">
        <v>908</v>
      </c>
      <c r="E16" s="9" t="s">
        <v>317</v>
      </c>
      <c r="F16" s="245" t="s">
        <v>212</v>
      </c>
      <c r="G16" s="25"/>
      <c r="H16" s="25"/>
    </row>
    <row r="17" spans="1:8" x14ac:dyDescent="0.25">
      <c r="A17" s="25"/>
      <c r="B17" s="1048"/>
      <c r="C17" s="1051" t="s">
        <v>909</v>
      </c>
      <c r="D17" s="7" t="s">
        <v>910</v>
      </c>
      <c r="E17" s="9" t="s">
        <v>319</v>
      </c>
      <c r="F17" s="249" t="s">
        <v>214</v>
      </c>
      <c r="G17" s="25"/>
      <c r="H17" s="25"/>
    </row>
    <row r="18" spans="1:8" x14ac:dyDescent="0.25">
      <c r="A18" s="25"/>
      <c r="B18" s="1048"/>
      <c r="C18" s="1051"/>
      <c r="D18" s="7" t="s">
        <v>911</v>
      </c>
      <c r="E18" s="9" t="s">
        <v>320</v>
      </c>
      <c r="F18" s="249" t="s">
        <v>214</v>
      </c>
      <c r="G18" s="25"/>
      <c r="H18" s="25"/>
    </row>
    <row r="19" spans="1:8" ht="15.75" thickBot="1" x14ac:dyDescent="0.3">
      <c r="A19" s="25"/>
      <c r="B19" s="1049"/>
      <c r="C19" s="1052"/>
      <c r="D19" s="233" t="s">
        <v>912</v>
      </c>
      <c r="E19" s="246" t="s">
        <v>321</v>
      </c>
      <c r="F19" s="250" t="s">
        <v>214</v>
      </c>
      <c r="G19" s="25"/>
      <c r="H19" s="25"/>
    </row>
    <row r="20" spans="1:8" x14ac:dyDescent="0.25">
      <c r="A20" s="25"/>
      <c r="B20" s="1047" t="s">
        <v>216</v>
      </c>
      <c r="C20" s="261" t="s">
        <v>913</v>
      </c>
      <c r="D20" s="261" t="s">
        <v>914</v>
      </c>
      <c r="E20" s="243" t="s">
        <v>328</v>
      </c>
      <c r="F20" s="244" t="s">
        <v>212</v>
      </c>
      <c r="G20" s="25"/>
      <c r="H20" s="25"/>
    </row>
    <row r="21" spans="1:8" x14ac:dyDescent="0.25">
      <c r="A21" s="25"/>
      <c r="B21" s="1048"/>
      <c r="C21" s="1051" t="s">
        <v>915</v>
      </c>
      <c r="D21" s="7" t="s">
        <v>916</v>
      </c>
      <c r="E21" s="9" t="s">
        <v>322</v>
      </c>
      <c r="F21" s="249" t="s">
        <v>214</v>
      </c>
      <c r="G21" s="25"/>
      <c r="H21" s="25"/>
    </row>
    <row r="22" spans="1:8" x14ac:dyDescent="0.25">
      <c r="A22" s="25"/>
      <c r="B22" s="1048"/>
      <c r="C22" s="1051"/>
      <c r="D22" s="7" t="s">
        <v>917</v>
      </c>
      <c r="E22" s="9" t="s">
        <v>323</v>
      </c>
      <c r="F22" s="249" t="s">
        <v>214</v>
      </c>
      <c r="G22" s="25"/>
      <c r="H22" s="25"/>
    </row>
    <row r="23" spans="1:8" x14ac:dyDescent="0.25">
      <c r="A23" s="25"/>
      <c r="B23" s="1048"/>
      <c r="C23" s="1051"/>
      <c r="D23" s="7" t="s">
        <v>918</v>
      </c>
      <c r="E23" s="9" t="s">
        <v>324</v>
      </c>
      <c r="F23" s="249" t="s">
        <v>214</v>
      </c>
      <c r="G23" s="25"/>
      <c r="H23" s="25"/>
    </row>
    <row r="24" spans="1:8" x14ac:dyDescent="0.25">
      <c r="A24" s="25"/>
      <c r="B24" s="1048"/>
      <c r="C24" s="1051"/>
      <c r="D24" s="7" t="s">
        <v>919</v>
      </c>
      <c r="E24" s="9" t="s">
        <v>325</v>
      </c>
      <c r="F24" s="249" t="s">
        <v>214</v>
      </c>
      <c r="G24" s="25"/>
      <c r="H24" s="25"/>
    </row>
    <row r="25" spans="1:8" x14ac:dyDescent="0.25">
      <c r="A25" s="25"/>
      <c r="B25" s="1048"/>
      <c r="C25" s="1051"/>
      <c r="D25" s="7" t="s">
        <v>920</v>
      </c>
      <c r="E25" s="9" t="s">
        <v>326</v>
      </c>
      <c r="F25" s="249" t="s">
        <v>214</v>
      </c>
      <c r="G25" s="25"/>
      <c r="H25" s="25"/>
    </row>
    <row r="26" spans="1:8" x14ac:dyDescent="0.25">
      <c r="A26" s="25"/>
      <c r="B26" s="1048"/>
      <c r="C26" s="1051"/>
      <c r="D26" s="7" t="s">
        <v>921</v>
      </c>
      <c r="E26" s="9" t="s">
        <v>327</v>
      </c>
      <c r="F26" s="249" t="s">
        <v>214</v>
      </c>
      <c r="G26" s="25"/>
      <c r="H26" s="25"/>
    </row>
    <row r="27" spans="1:8" ht="15.75" thickBot="1" x14ac:dyDescent="0.3">
      <c r="A27" s="25"/>
      <c r="B27" s="1049"/>
      <c r="C27" s="1052"/>
      <c r="D27" s="233" t="s">
        <v>922</v>
      </c>
      <c r="E27" s="246" t="s">
        <v>923</v>
      </c>
      <c r="F27" s="250" t="s">
        <v>214</v>
      </c>
      <c r="G27" s="25"/>
      <c r="H27" s="25"/>
    </row>
    <row r="28" spans="1:8" x14ac:dyDescent="0.25">
      <c r="A28" s="25"/>
      <c r="B28" s="1047" t="s">
        <v>924</v>
      </c>
      <c r="C28" s="1050" t="s">
        <v>925</v>
      </c>
      <c r="D28" s="261" t="s">
        <v>926</v>
      </c>
      <c r="E28" s="243" t="s">
        <v>927</v>
      </c>
      <c r="F28" s="244" t="s">
        <v>212</v>
      </c>
      <c r="G28" s="25"/>
      <c r="H28" s="25"/>
    </row>
    <row r="29" spans="1:8" x14ac:dyDescent="0.25">
      <c r="A29" s="25"/>
      <c r="B29" s="1048"/>
      <c r="C29" s="1051"/>
      <c r="D29" s="7" t="s">
        <v>928</v>
      </c>
      <c r="E29" s="9" t="s">
        <v>929</v>
      </c>
      <c r="F29" s="249" t="s">
        <v>214</v>
      </c>
      <c r="G29" s="25"/>
      <c r="H29" s="25"/>
    </row>
    <row r="30" spans="1:8" x14ac:dyDescent="0.25">
      <c r="A30" s="25"/>
      <c r="B30" s="1048"/>
      <c r="C30" s="1051"/>
      <c r="D30" s="7" t="s">
        <v>930</v>
      </c>
      <c r="E30" s="9" t="s">
        <v>931</v>
      </c>
      <c r="F30" s="249" t="s">
        <v>214</v>
      </c>
      <c r="G30" s="25"/>
      <c r="H30" s="25"/>
    </row>
    <row r="31" spans="1:8" x14ac:dyDescent="0.25">
      <c r="A31" s="25"/>
      <c r="B31" s="1048"/>
      <c r="C31" s="1051" t="s">
        <v>932</v>
      </c>
      <c r="D31" s="7" t="s">
        <v>933</v>
      </c>
      <c r="E31" s="9" t="s">
        <v>934</v>
      </c>
      <c r="F31" s="245" t="s">
        <v>212</v>
      </c>
      <c r="G31" s="25"/>
      <c r="H31" s="25"/>
    </row>
    <row r="32" spans="1:8" x14ac:dyDescent="0.25">
      <c r="A32" s="25"/>
      <c r="B32" s="1048"/>
      <c r="C32" s="1051"/>
      <c r="D32" s="7" t="s">
        <v>935</v>
      </c>
      <c r="E32" s="9" t="s">
        <v>936</v>
      </c>
      <c r="F32" s="249" t="s">
        <v>214</v>
      </c>
      <c r="G32" s="25"/>
      <c r="H32" s="25"/>
    </row>
    <row r="33" spans="1:8" ht="30" x14ac:dyDescent="0.25">
      <c r="A33" s="25"/>
      <c r="B33" s="1048"/>
      <c r="C33" s="1051"/>
      <c r="D33" s="7" t="s">
        <v>937</v>
      </c>
      <c r="E33" s="9" t="s">
        <v>938</v>
      </c>
      <c r="F33" s="249" t="s">
        <v>214</v>
      </c>
      <c r="G33" s="25"/>
      <c r="H33" s="25"/>
    </row>
    <row r="34" spans="1:8" x14ac:dyDescent="0.25">
      <c r="A34" s="25"/>
      <c r="B34" s="1048"/>
      <c r="C34" s="7" t="s">
        <v>939</v>
      </c>
      <c r="D34" s="7" t="s">
        <v>940</v>
      </c>
      <c r="E34" s="9" t="s">
        <v>941</v>
      </c>
      <c r="F34" s="251" t="s">
        <v>340</v>
      </c>
      <c r="G34" s="25"/>
      <c r="H34" s="25"/>
    </row>
    <row r="35" spans="1:8" x14ac:dyDescent="0.25">
      <c r="A35" s="25"/>
      <c r="B35" s="1048"/>
      <c r="C35" s="1051" t="s">
        <v>942</v>
      </c>
      <c r="D35" s="7" t="s">
        <v>943</v>
      </c>
      <c r="E35" s="9" t="s">
        <v>944</v>
      </c>
      <c r="F35" s="245" t="s">
        <v>212</v>
      </c>
      <c r="G35" s="25"/>
      <c r="H35" s="25"/>
    </row>
    <row r="36" spans="1:8" x14ac:dyDescent="0.25">
      <c r="A36" s="25"/>
      <c r="B36" s="1048"/>
      <c r="C36" s="1051"/>
      <c r="D36" s="7" t="s">
        <v>945</v>
      </c>
      <c r="E36" s="9" t="s">
        <v>946</v>
      </c>
      <c r="F36" s="245" t="s">
        <v>212</v>
      </c>
      <c r="G36" s="25"/>
      <c r="H36" s="25"/>
    </row>
    <row r="37" spans="1:8" ht="30" x14ac:dyDescent="0.25">
      <c r="A37" s="25"/>
      <c r="B37" s="1048"/>
      <c r="C37" s="1051"/>
      <c r="D37" s="7" t="s">
        <v>947</v>
      </c>
      <c r="E37" s="9" t="s">
        <v>948</v>
      </c>
      <c r="F37" s="249" t="s">
        <v>214</v>
      </c>
      <c r="G37" s="25"/>
      <c r="H37" s="25"/>
    </row>
    <row r="38" spans="1:8" ht="15.75" thickBot="1" x14ac:dyDescent="0.3">
      <c r="A38" s="25"/>
      <c r="B38" s="1049"/>
      <c r="C38" s="1052"/>
      <c r="D38" s="233" t="s">
        <v>949</v>
      </c>
      <c r="E38" s="246" t="s">
        <v>950</v>
      </c>
      <c r="F38" s="250" t="s">
        <v>214</v>
      </c>
      <c r="G38" s="25"/>
      <c r="H38" s="25"/>
    </row>
    <row r="39" spans="1:8" x14ac:dyDescent="0.25">
      <c r="A39" s="25"/>
      <c r="B39" s="1053" t="s">
        <v>951</v>
      </c>
      <c r="C39" s="261" t="s">
        <v>952</v>
      </c>
      <c r="D39" s="261" t="s">
        <v>953</v>
      </c>
      <c r="E39" s="243" t="s">
        <v>375</v>
      </c>
      <c r="F39" s="244" t="s">
        <v>954</v>
      </c>
      <c r="G39" s="25"/>
      <c r="H39" s="25"/>
    </row>
    <row r="40" spans="1:8" x14ac:dyDescent="0.25">
      <c r="A40" s="25"/>
      <c r="B40" s="1054"/>
      <c r="C40" s="7" t="s">
        <v>952</v>
      </c>
      <c r="D40" s="7" t="s">
        <v>955</v>
      </c>
      <c r="E40" s="9" t="s">
        <v>374</v>
      </c>
      <c r="F40" s="245" t="s">
        <v>954</v>
      </c>
      <c r="G40" s="25"/>
      <c r="H40" s="25"/>
    </row>
    <row r="41" spans="1:8" ht="30.75" thickBot="1" x14ac:dyDescent="0.3">
      <c r="A41" s="25"/>
      <c r="B41" s="1055"/>
      <c r="C41" s="233" t="s">
        <v>952</v>
      </c>
      <c r="D41" s="233" t="s">
        <v>956</v>
      </c>
      <c r="E41" s="246" t="s">
        <v>957</v>
      </c>
      <c r="F41" s="250" t="s">
        <v>214</v>
      </c>
      <c r="G41" s="25"/>
      <c r="H41" s="25"/>
    </row>
    <row r="42" spans="1:8" x14ac:dyDescent="0.25">
      <c r="A42" s="25"/>
      <c r="B42" s="1047" t="s">
        <v>218</v>
      </c>
      <c r="C42" s="261" t="s">
        <v>952</v>
      </c>
      <c r="D42" s="261" t="s">
        <v>958</v>
      </c>
      <c r="E42" s="243" t="s">
        <v>372</v>
      </c>
      <c r="F42" s="244" t="s">
        <v>954</v>
      </c>
      <c r="G42" s="25"/>
      <c r="H42" s="25"/>
    </row>
    <row r="43" spans="1:8" x14ac:dyDescent="0.25">
      <c r="A43" s="25"/>
      <c r="B43" s="1048"/>
      <c r="C43" s="7" t="s">
        <v>952</v>
      </c>
      <c r="D43" s="7" t="s">
        <v>959</v>
      </c>
      <c r="E43" s="9" t="s">
        <v>366</v>
      </c>
      <c r="F43" s="245" t="s">
        <v>954</v>
      </c>
      <c r="G43" s="25"/>
      <c r="H43" s="25"/>
    </row>
    <row r="44" spans="1:8" x14ac:dyDescent="0.25">
      <c r="A44" s="25"/>
      <c r="B44" s="1048"/>
      <c r="C44" s="7" t="s">
        <v>952</v>
      </c>
      <c r="D44" s="7" t="s">
        <v>960</v>
      </c>
      <c r="E44" s="9" t="s">
        <v>370</v>
      </c>
      <c r="F44" s="245" t="s">
        <v>954</v>
      </c>
      <c r="G44" s="25"/>
      <c r="H44" s="25"/>
    </row>
    <row r="45" spans="1:8" x14ac:dyDescent="0.25">
      <c r="A45" s="25"/>
      <c r="B45" s="1048"/>
      <c r="C45" s="7" t="s">
        <v>952</v>
      </c>
      <c r="D45" s="7" t="s">
        <v>961</v>
      </c>
      <c r="E45" s="9" t="s">
        <v>367</v>
      </c>
      <c r="F45" s="245" t="s">
        <v>212</v>
      </c>
      <c r="G45" s="25"/>
      <c r="H45" s="25"/>
    </row>
    <row r="46" spans="1:8" x14ac:dyDescent="0.25">
      <c r="A46" s="25"/>
      <c r="B46" s="1048"/>
      <c r="C46" s="7" t="s">
        <v>952</v>
      </c>
      <c r="D46" s="7" t="s">
        <v>962</v>
      </c>
      <c r="E46" s="9" t="s">
        <v>369</v>
      </c>
      <c r="F46" s="245" t="s">
        <v>954</v>
      </c>
      <c r="G46" s="25"/>
      <c r="H46" s="25"/>
    </row>
    <row r="47" spans="1:8" x14ac:dyDescent="0.25">
      <c r="A47" s="25"/>
      <c r="B47" s="1048"/>
      <c r="C47" s="7" t="s">
        <v>952</v>
      </c>
      <c r="D47" s="7" t="s">
        <v>963</v>
      </c>
      <c r="E47" s="9" t="s">
        <v>368</v>
      </c>
      <c r="F47" s="245" t="s">
        <v>212</v>
      </c>
      <c r="G47" s="25"/>
      <c r="H47" s="25"/>
    </row>
    <row r="48" spans="1:8" x14ac:dyDescent="0.25">
      <c r="A48" s="25"/>
      <c r="B48" s="1048"/>
      <c r="C48" s="7" t="s">
        <v>952</v>
      </c>
      <c r="D48" s="7" t="s">
        <v>964</v>
      </c>
      <c r="E48" s="9" t="s">
        <v>371</v>
      </c>
      <c r="F48" s="245" t="s">
        <v>954</v>
      </c>
      <c r="G48" s="25"/>
      <c r="H48" s="25"/>
    </row>
    <row r="49" spans="1:8" x14ac:dyDescent="0.25">
      <c r="A49" s="25"/>
      <c r="B49" s="1048"/>
      <c r="C49" s="7" t="s">
        <v>952</v>
      </c>
      <c r="D49" s="7" t="s">
        <v>965</v>
      </c>
      <c r="E49" s="9" t="s">
        <v>966</v>
      </c>
      <c r="F49" s="245" t="s">
        <v>212</v>
      </c>
      <c r="G49" s="25"/>
      <c r="H49" s="25"/>
    </row>
    <row r="50" spans="1:8" x14ac:dyDescent="0.25">
      <c r="A50" s="25"/>
      <c r="B50" s="1048"/>
      <c r="C50" s="7" t="s">
        <v>952</v>
      </c>
      <c r="D50" s="7" t="s">
        <v>967</v>
      </c>
      <c r="E50" s="9" t="s">
        <v>968</v>
      </c>
      <c r="F50" s="249" t="s">
        <v>214</v>
      </c>
      <c r="G50" s="25"/>
      <c r="H50" s="25"/>
    </row>
    <row r="51" spans="1:8" ht="15.75" thickBot="1" x14ac:dyDescent="0.3">
      <c r="A51" s="25"/>
      <c r="B51" s="1049"/>
      <c r="C51" s="233" t="s">
        <v>952</v>
      </c>
      <c r="D51" s="233" t="s">
        <v>969</v>
      </c>
      <c r="E51" s="246" t="s">
        <v>373</v>
      </c>
      <c r="F51" s="250" t="s">
        <v>214</v>
      </c>
      <c r="G51" s="25"/>
      <c r="H51" s="25"/>
    </row>
    <row r="52" spans="1:8" x14ac:dyDescent="0.25">
      <c r="A52" s="25"/>
      <c r="B52" s="1047" t="s">
        <v>219</v>
      </c>
      <c r="C52" s="261" t="s">
        <v>334</v>
      </c>
      <c r="D52" s="261" t="s">
        <v>970</v>
      </c>
      <c r="E52" s="243" t="s">
        <v>334</v>
      </c>
      <c r="F52" s="248" t="s">
        <v>214</v>
      </c>
      <c r="G52" s="25"/>
      <c r="H52" s="25"/>
    </row>
    <row r="53" spans="1:8" ht="15.75" thickBot="1" x14ac:dyDescent="0.3">
      <c r="A53" s="25"/>
      <c r="B53" s="1049"/>
      <c r="C53" s="233" t="s">
        <v>971</v>
      </c>
      <c r="D53" s="233" t="s">
        <v>972</v>
      </c>
      <c r="E53" s="246" t="s">
        <v>973</v>
      </c>
      <c r="F53" s="250" t="s">
        <v>214</v>
      </c>
      <c r="G53" s="25"/>
      <c r="H53" s="25"/>
    </row>
    <row r="54" spans="1:8" x14ac:dyDescent="0.25">
      <c r="A54" s="25"/>
      <c r="B54" s="1047" t="s">
        <v>974</v>
      </c>
      <c r="C54" s="261" t="s">
        <v>975</v>
      </c>
      <c r="D54" s="261" t="s">
        <v>976</v>
      </c>
      <c r="E54" s="243" t="s">
        <v>268</v>
      </c>
      <c r="F54" s="248" t="s">
        <v>214</v>
      </c>
      <c r="G54" s="25"/>
      <c r="H54" s="25"/>
    </row>
    <row r="55" spans="1:8" x14ac:dyDescent="0.25">
      <c r="A55" s="25"/>
      <c r="B55" s="1048"/>
      <c r="C55" s="7" t="s">
        <v>270</v>
      </c>
      <c r="D55" s="7" t="s">
        <v>977</v>
      </c>
      <c r="E55" s="9" t="s">
        <v>270</v>
      </c>
      <c r="F55" s="245" t="s">
        <v>212</v>
      </c>
      <c r="G55" s="25"/>
      <c r="H55" s="25"/>
    </row>
    <row r="56" spans="1:8" ht="15.75" thickBot="1" x14ac:dyDescent="0.3">
      <c r="A56" s="25"/>
      <c r="B56" s="1049"/>
      <c r="C56" s="233" t="s">
        <v>978</v>
      </c>
      <c r="D56" s="233" t="s">
        <v>979</v>
      </c>
      <c r="E56" s="246" t="s">
        <v>269</v>
      </c>
      <c r="F56" s="250" t="s">
        <v>214</v>
      </c>
      <c r="G56" s="25"/>
      <c r="H56" s="25"/>
    </row>
    <row r="57" spans="1:8" x14ac:dyDescent="0.25">
      <c r="A57" s="25"/>
      <c r="B57" s="1047" t="s">
        <v>220</v>
      </c>
      <c r="C57" s="261" t="s">
        <v>980</v>
      </c>
      <c r="D57" s="261" t="s">
        <v>981</v>
      </c>
      <c r="E57" s="243" t="s">
        <v>335</v>
      </c>
      <c r="F57" s="244" t="s">
        <v>212</v>
      </c>
      <c r="G57" s="25"/>
      <c r="H57" s="25"/>
    </row>
    <row r="58" spans="1:8" ht="15.75" thickBot="1" x14ac:dyDescent="0.3">
      <c r="A58" s="25"/>
      <c r="B58" s="1049"/>
      <c r="C58" s="233" t="s">
        <v>982</v>
      </c>
      <c r="D58" s="233" t="s">
        <v>983</v>
      </c>
      <c r="E58" s="246" t="s">
        <v>336</v>
      </c>
      <c r="F58" s="250" t="s">
        <v>214</v>
      </c>
      <c r="G58" s="25"/>
      <c r="H58" s="25"/>
    </row>
    <row r="59" spans="1:8" x14ac:dyDescent="0.25">
      <c r="A59" s="25"/>
      <c r="B59" s="1047" t="s">
        <v>221</v>
      </c>
      <c r="C59" s="261" t="s">
        <v>338</v>
      </c>
      <c r="D59" s="261" t="s">
        <v>984</v>
      </c>
      <c r="E59" s="243" t="s">
        <v>338</v>
      </c>
      <c r="F59" s="244" t="s">
        <v>212</v>
      </c>
      <c r="G59" s="25"/>
      <c r="H59" s="25"/>
    </row>
    <row r="60" spans="1:8" x14ac:dyDescent="0.25">
      <c r="A60" s="25"/>
      <c r="B60" s="1048"/>
      <c r="C60" s="7" t="s">
        <v>985</v>
      </c>
      <c r="D60" s="7" t="s">
        <v>986</v>
      </c>
      <c r="E60" s="9" t="s">
        <v>987</v>
      </c>
      <c r="F60" s="245" t="s">
        <v>212</v>
      </c>
      <c r="G60" s="25"/>
      <c r="H60" s="25"/>
    </row>
    <row r="61" spans="1:8" x14ac:dyDescent="0.25">
      <c r="A61" s="25"/>
      <c r="B61" s="1048"/>
      <c r="C61" s="7" t="s">
        <v>988</v>
      </c>
      <c r="D61" s="7" t="s">
        <v>989</v>
      </c>
      <c r="E61" s="9" t="s">
        <v>990</v>
      </c>
      <c r="F61" s="249" t="s">
        <v>214</v>
      </c>
      <c r="G61" s="25"/>
      <c r="H61" s="25"/>
    </row>
    <row r="62" spans="1:8" x14ac:dyDescent="0.25">
      <c r="A62" s="25"/>
      <c r="B62" s="1048"/>
      <c r="C62" s="7" t="s">
        <v>342</v>
      </c>
      <c r="D62" s="7" t="s">
        <v>991</v>
      </c>
      <c r="E62" s="9" t="s">
        <v>342</v>
      </c>
      <c r="F62" s="245" t="s">
        <v>212</v>
      </c>
      <c r="G62" s="25"/>
      <c r="H62" s="25"/>
    </row>
    <row r="63" spans="1:8" x14ac:dyDescent="0.25">
      <c r="A63" s="25"/>
      <c r="B63" s="1048"/>
      <c r="C63" s="7" t="s">
        <v>992</v>
      </c>
      <c r="D63" s="7" t="s">
        <v>993</v>
      </c>
      <c r="E63" s="9" t="s">
        <v>345</v>
      </c>
      <c r="F63" s="249" t="s">
        <v>214</v>
      </c>
      <c r="G63" s="25"/>
      <c r="H63" s="25"/>
    </row>
    <row r="64" spans="1:8" x14ac:dyDescent="0.25">
      <c r="A64" s="25"/>
      <c r="B64" s="1048"/>
      <c r="C64" s="1051" t="s">
        <v>994</v>
      </c>
      <c r="D64" s="7" t="s">
        <v>995</v>
      </c>
      <c r="E64" s="9" t="s">
        <v>358</v>
      </c>
      <c r="F64" s="245" t="s">
        <v>212</v>
      </c>
      <c r="G64" s="25"/>
      <c r="H64" s="25"/>
    </row>
    <row r="65" spans="1:8" x14ac:dyDescent="0.25">
      <c r="A65" s="25"/>
      <c r="B65" s="1048"/>
      <c r="C65" s="1051"/>
      <c r="D65" s="7" t="s">
        <v>996</v>
      </c>
      <c r="E65" s="9" t="s">
        <v>997</v>
      </c>
      <c r="F65" s="251" t="s">
        <v>340</v>
      </c>
      <c r="G65" s="25"/>
      <c r="H65" s="25"/>
    </row>
    <row r="66" spans="1:8" x14ac:dyDescent="0.25">
      <c r="A66" s="25"/>
      <c r="B66" s="1048"/>
      <c r="C66" s="7" t="s">
        <v>998</v>
      </c>
      <c r="D66" s="7" t="s">
        <v>999</v>
      </c>
      <c r="E66" s="9" t="s">
        <v>1000</v>
      </c>
      <c r="F66" s="249" t="s">
        <v>214</v>
      </c>
      <c r="G66" s="25"/>
      <c r="H66" s="25"/>
    </row>
    <row r="67" spans="1:8" x14ac:dyDescent="0.25">
      <c r="A67" s="25"/>
      <c r="B67" s="1048"/>
      <c r="C67" s="7" t="s">
        <v>1001</v>
      </c>
      <c r="D67" s="7" t="s">
        <v>1002</v>
      </c>
      <c r="E67" s="9" t="s">
        <v>347</v>
      </c>
      <c r="F67" s="245" t="s">
        <v>212</v>
      </c>
      <c r="G67" s="25"/>
      <c r="H67" s="25"/>
    </row>
    <row r="68" spans="1:8" x14ac:dyDescent="0.25">
      <c r="A68" s="25"/>
      <c r="B68" s="1048"/>
      <c r="C68" s="1051" t="s">
        <v>1003</v>
      </c>
      <c r="D68" s="7" t="s">
        <v>1004</v>
      </c>
      <c r="E68" s="9" t="s">
        <v>348</v>
      </c>
      <c r="F68" s="245" t="s">
        <v>212</v>
      </c>
      <c r="G68" s="25"/>
      <c r="H68" s="25"/>
    </row>
    <row r="69" spans="1:8" x14ac:dyDescent="0.25">
      <c r="A69" s="25"/>
      <c r="B69" s="1048"/>
      <c r="C69" s="1051"/>
      <c r="D69" s="7" t="s">
        <v>1005</v>
      </c>
      <c r="E69" s="9" t="s">
        <v>349</v>
      </c>
      <c r="F69" s="245" t="s">
        <v>212</v>
      </c>
      <c r="G69" s="25"/>
      <c r="H69" s="25"/>
    </row>
    <row r="70" spans="1:8" x14ac:dyDescent="0.25">
      <c r="A70" s="25"/>
      <c r="B70" s="1048"/>
      <c r="C70" s="7" t="s">
        <v>1006</v>
      </c>
      <c r="D70" s="7" t="s">
        <v>1007</v>
      </c>
      <c r="E70" s="9" t="s">
        <v>346</v>
      </c>
      <c r="F70" s="251" t="s">
        <v>340</v>
      </c>
      <c r="G70" s="25"/>
      <c r="H70" s="25"/>
    </row>
    <row r="71" spans="1:8" x14ac:dyDescent="0.25">
      <c r="A71" s="25"/>
      <c r="B71" s="1048"/>
      <c r="C71" s="7" t="s">
        <v>1008</v>
      </c>
      <c r="D71" s="7" t="s">
        <v>1009</v>
      </c>
      <c r="E71" s="9" t="s">
        <v>331</v>
      </c>
      <c r="F71" s="245" t="s">
        <v>212</v>
      </c>
      <c r="G71" s="25"/>
      <c r="H71" s="25"/>
    </row>
    <row r="72" spans="1:8" x14ac:dyDescent="0.25">
      <c r="A72" s="25"/>
      <c r="B72" s="1048"/>
      <c r="C72" s="7" t="s">
        <v>1010</v>
      </c>
      <c r="D72" s="7" t="s">
        <v>1011</v>
      </c>
      <c r="E72" s="9" t="s">
        <v>352</v>
      </c>
      <c r="F72" s="245" t="s">
        <v>212</v>
      </c>
      <c r="G72" s="25"/>
      <c r="H72" s="25"/>
    </row>
    <row r="73" spans="1:8" x14ac:dyDescent="0.25">
      <c r="A73" s="25"/>
      <c r="B73" s="1048"/>
      <c r="C73" s="7" t="s">
        <v>1012</v>
      </c>
      <c r="D73" s="7" t="s">
        <v>1013</v>
      </c>
      <c r="E73" s="9" t="s">
        <v>339</v>
      </c>
      <c r="F73" s="251" t="s">
        <v>340</v>
      </c>
      <c r="G73" s="25"/>
      <c r="H73" s="25"/>
    </row>
    <row r="74" spans="1:8" x14ac:dyDescent="0.25">
      <c r="A74" s="25"/>
      <c r="B74" s="1048"/>
      <c r="C74" s="7" t="s">
        <v>1014</v>
      </c>
      <c r="D74" s="7" t="s">
        <v>1015</v>
      </c>
      <c r="E74" s="9" t="s">
        <v>350</v>
      </c>
      <c r="F74" s="245" t="s">
        <v>212</v>
      </c>
      <c r="G74" s="25"/>
      <c r="H74" s="25"/>
    </row>
    <row r="75" spans="1:8" x14ac:dyDescent="0.25">
      <c r="A75" s="25"/>
      <c r="B75" s="1048"/>
      <c r="C75" s="7" t="s">
        <v>1016</v>
      </c>
      <c r="D75" s="7" t="s">
        <v>1017</v>
      </c>
      <c r="E75" s="9" t="s">
        <v>1018</v>
      </c>
      <c r="F75" s="245" t="s">
        <v>212</v>
      </c>
      <c r="G75" s="25"/>
      <c r="H75" s="25"/>
    </row>
    <row r="76" spans="1:8" x14ac:dyDescent="0.25">
      <c r="A76" s="25"/>
      <c r="B76" s="1048"/>
      <c r="C76" s="7" t="s">
        <v>1019</v>
      </c>
      <c r="D76" s="7" t="s">
        <v>1020</v>
      </c>
      <c r="E76" s="9" t="s">
        <v>1021</v>
      </c>
      <c r="F76" s="245" t="s">
        <v>212</v>
      </c>
      <c r="G76" s="25"/>
      <c r="H76" s="25"/>
    </row>
    <row r="77" spans="1:8" x14ac:dyDescent="0.25">
      <c r="A77" s="25"/>
      <c r="B77" s="1048"/>
      <c r="C77" s="1051" t="s">
        <v>1022</v>
      </c>
      <c r="D77" s="7" t="s">
        <v>1023</v>
      </c>
      <c r="E77" s="9" t="s">
        <v>353</v>
      </c>
      <c r="F77" s="245" t="s">
        <v>212</v>
      </c>
      <c r="G77" s="25"/>
      <c r="H77" s="25"/>
    </row>
    <row r="78" spans="1:8" x14ac:dyDescent="0.25">
      <c r="A78" s="25"/>
      <c r="B78" s="1048"/>
      <c r="C78" s="1051"/>
      <c r="D78" s="7" t="s">
        <v>1024</v>
      </c>
      <c r="E78" s="9" t="s">
        <v>1025</v>
      </c>
      <c r="F78" s="245" t="s">
        <v>212</v>
      </c>
      <c r="G78" s="25"/>
      <c r="H78" s="25"/>
    </row>
    <row r="79" spans="1:8" ht="15.75" thickBot="1" x14ac:dyDescent="0.3">
      <c r="A79" s="25"/>
      <c r="B79" s="1049"/>
      <c r="C79" s="233" t="s">
        <v>1026</v>
      </c>
      <c r="D79" s="233" t="s">
        <v>1027</v>
      </c>
      <c r="E79" s="246" t="s">
        <v>344</v>
      </c>
      <c r="F79" s="255" t="s">
        <v>340</v>
      </c>
      <c r="G79" s="25"/>
      <c r="H79" s="25"/>
    </row>
    <row r="80" spans="1:8" x14ac:dyDescent="0.25">
      <c r="A80" s="25"/>
      <c r="B80" s="1047" t="s">
        <v>222</v>
      </c>
      <c r="C80" s="1050" t="s">
        <v>1028</v>
      </c>
      <c r="D80" s="261" t="s">
        <v>1029</v>
      </c>
      <c r="E80" s="243" t="s">
        <v>360</v>
      </c>
      <c r="F80" s="244" t="s">
        <v>212</v>
      </c>
      <c r="G80" s="25"/>
      <c r="H80" s="25"/>
    </row>
    <row r="81" spans="1:8" x14ac:dyDescent="0.25">
      <c r="A81" s="25"/>
      <c r="B81" s="1048"/>
      <c r="C81" s="1051"/>
      <c r="D81" s="7" t="s">
        <v>1030</v>
      </c>
      <c r="E81" s="9" t="s">
        <v>1031</v>
      </c>
      <c r="F81" s="249" t="s">
        <v>214</v>
      </c>
      <c r="G81" s="25"/>
      <c r="H81" s="25"/>
    </row>
    <row r="82" spans="1:8" x14ac:dyDescent="0.25">
      <c r="A82" s="25"/>
      <c r="B82" s="1048"/>
      <c r="C82" s="7" t="s">
        <v>1032</v>
      </c>
      <c r="D82" s="7" t="s">
        <v>1033</v>
      </c>
      <c r="E82" s="9" t="s">
        <v>362</v>
      </c>
      <c r="F82" s="249" t="s">
        <v>214</v>
      </c>
      <c r="G82" s="25"/>
      <c r="H82" s="25"/>
    </row>
    <row r="83" spans="1:8" ht="15.75" thickBot="1" x14ac:dyDescent="0.3">
      <c r="A83" s="25"/>
      <c r="B83" s="1049"/>
      <c r="C83" s="233" t="s">
        <v>1034</v>
      </c>
      <c r="D83" s="233" t="s">
        <v>1035</v>
      </c>
      <c r="E83" s="246" t="s">
        <v>363</v>
      </c>
      <c r="F83" s="250" t="s">
        <v>214</v>
      </c>
      <c r="G83" s="25"/>
      <c r="H83" s="25"/>
    </row>
    <row r="84" spans="1:8" x14ac:dyDescent="0.25">
      <c r="A84" s="25"/>
      <c r="B84" s="25"/>
      <c r="C84" s="25"/>
      <c r="D84" s="25"/>
      <c r="E84" s="25"/>
      <c r="F84" s="25"/>
      <c r="G84" s="25"/>
      <c r="H84" s="25"/>
    </row>
    <row r="85" spans="1:8" x14ac:dyDescent="0.25">
      <c r="A85" s="25"/>
      <c r="B85" s="25"/>
      <c r="C85" s="25"/>
      <c r="D85" s="25"/>
      <c r="E85" s="25"/>
      <c r="F85" s="25"/>
      <c r="G85" s="25"/>
      <c r="H85" s="25"/>
    </row>
    <row r="86" spans="1:8" x14ac:dyDescent="0.25">
      <c r="A86" s="25"/>
      <c r="B86" s="25"/>
      <c r="C86" s="25"/>
      <c r="D86" s="25"/>
      <c r="E86" s="25"/>
      <c r="F86" s="25"/>
      <c r="G86" s="25"/>
      <c r="H86" s="25"/>
    </row>
    <row r="87" spans="1:8" x14ac:dyDescent="0.25">
      <c r="A87" s="25"/>
      <c r="B87" s="25"/>
      <c r="C87" s="25"/>
      <c r="D87" s="25"/>
      <c r="E87" s="25"/>
      <c r="F87" s="25"/>
      <c r="G87" s="25"/>
      <c r="H87" s="25"/>
    </row>
    <row r="88" spans="1:8" x14ac:dyDescent="0.25">
      <c r="A88" s="25"/>
      <c r="B88" s="25"/>
      <c r="C88" s="25"/>
      <c r="D88" s="25"/>
      <c r="E88" s="25"/>
      <c r="F88" s="25"/>
      <c r="G88" s="25"/>
      <c r="H88" s="25"/>
    </row>
    <row r="89" spans="1:8" hidden="1" x14ac:dyDescent="0.25">
      <c r="A89" s="25"/>
      <c r="B89" s="25"/>
      <c r="C89" s="25"/>
      <c r="D89" s="25"/>
      <c r="E89" s="25"/>
      <c r="F89" s="25"/>
      <c r="G89" s="25"/>
      <c r="H89" s="25"/>
    </row>
    <row r="90" spans="1:8" hidden="1" x14ac:dyDescent="0.25">
      <c r="A90" s="25"/>
      <c r="B90" s="25"/>
      <c r="C90" s="25"/>
      <c r="D90" s="25"/>
      <c r="E90" s="25"/>
      <c r="F90" s="25"/>
      <c r="G90" s="25"/>
      <c r="H90" s="25"/>
    </row>
    <row r="91" spans="1:8" hidden="1" x14ac:dyDescent="0.25">
      <c r="A91" s="25"/>
      <c r="B91" s="25"/>
      <c r="C91" s="25"/>
      <c r="D91" s="25"/>
      <c r="E91" s="25"/>
      <c r="F91" s="25"/>
      <c r="G91" s="25"/>
      <c r="H91" s="25"/>
    </row>
    <row r="92" spans="1:8" hidden="1" x14ac:dyDescent="0.25">
      <c r="A92" s="25"/>
      <c r="B92" s="25"/>
      <c r="C92" s="25"/>
      <c r="D92" s="25"/>
      <c r="E92" s="25"/>
      <c r="F92" s="25"/>
      <c r="G92" s="25"/>
      <c r="H92" s="25"/>
    </row>
    <row r="93" spans="1:8" hidden="1" x14ac:dyDescent="0.25">
      <c r="A93" s="25"/>
      <c r="B93" s="25"/>
      <c r="C93" s="25"/>
      <c r="D93" s="25"/>
      <c r="E93" s="25"/>
      <c r="F93" s="25"/>
      <c r="G93" s="25"/>
      <c r="H93" s="25"/>
    </row>
    <row r="94" spans="1:8" hidden="1" x14ac:dyDescent="0.25">
      <c r="A94" s="25"/>
      <c r="B94" s="25"/>
      <c r="C94" s="25"/>
      <c r="D94" s="25"/>
      <c r="E94" s="25"/>
      <c r="F94" s="25"/>
      <c r="G94" s="25"/>
      <c r="H94" s="25"/>
    </row>
    <row r="95" spans="1:8" hidden="1" x14ac:dyDescent="0.25">
      <c r="A95" s="25"/>
      <c r="B95" s="25"/>
      <c r="C95" s="25"/>
      <c r="D95" s="25"/>
      <c r="E95" s="25"/>
      <c r="F95" s="25"/>
      <c r="G95" s="25"/>
      <c r="H95" s="25"/>
    </row>
    <row r="96" spans="1:8" hidden="1" x14ac:dyDescent="0.25">
      <c r="A96" s="25"/>
      <c r="B96" s="25"/>
      <c r="C96" s="25"/>
      <c r="D96" s="25"/>
      <c r="E96" s="25"/>
      <c r="F96" s="25"/>
      <c r="G96" s="25"/>
      <c r="H96" s="25"/>
    </row>
    <row r="97" spans="1:8" hidden="1" x14ac:dyDescent="0.25">
      <c r="A97" s="25"/>
      <c r="B97" s="25"/>
      <c r="C97" s="25"/>
      <c r="D97" s="25"/>
      <c r="E97" s="25"/>
      <c r="F97" s="25"/>
      <c r="G97" s="25"/>
      <c r="H97" s="25"/>
    </row>
    <row r="98" spans="1:8" hidden="1" x14ac:dyDescent="0.25">
      <c r="A98" s="25"/>
      <c r="B98" s="25"/>
      <c r="C98" s="25"/>
      <c r="D98" s="25"/>
      <c r="E98" s="25"/>
      <c r="F98" s="25"/>
      <c r="G98" s="25"/>
      <c r="H98" s="25"/>
    </row>
    <row r="99" spans="1:8" hidden="1" x14ac:dyDescent="0.25">
      <c r="A99" s="25"/>
      <c r="B99" s="25"/>
      <c r="C99" s="25"/>
      <c r="D99" s="25"/>
      <c r="E99" s="25"/>
      <c r="F99" s="25"/>
      <c r="G99" s="25"/>
      <c r="H99" s="25"/>
    </row>
    <row r="100" spans="1:8" hidden="1" x14ac:dyDescent="0.25">
      <c r="A100" s="25"/>
      <c r="B100" s="25"/>
      <c r="C100" s="25"/>
      <c r="D100" s="25"/>
      <c r="E100" s="25"/>
      <c r="F100" s="25"/>
      <c r="G100" s="25"/>
      <c r="H100" s="25"/>
    </row>
    <row r="101" spans="1:8" hidden="1" x14ac:dyDescent="0.25">
      <c r="A101" s="25"/>
      <c r="B101" s="25"/>
      <c r="C101" s="25"/>
      <c r="D101" s="25"/>
      <c r="E101" s="25"/>
      <c r="F101" s="25"/>
      <c r="G101" s="25"/>
      <c r="H101" s="25"/>
    </row>
    <row r="102" spans="1:8" hidden="1" x14ac:dyDescent="0.25">
      <c r="A102" s="25"/>
      <c r="B102" s="25"/>
      <c r="C102" s="25"/>
      <c r="D102" s="25"/>
      <c r="E102" s="25"/>
      <c r="F102" s="25"/>
      <c r="G102" s="25"/>
      <c r="H102" s="25"/>
    </row>
    <row r="103" spans="1:8" hidden="1" x14ac:dyDescent="0.25">
      <c r="A103" s="25"/>
      <c r="B103" s="25"/>
      <c r="C103" s="25"/>
      <c r="D103" s="25"/>
      <c r="E103" s="25"/>
      <c r="F103" s="25"/>
      <c r="G103" s="25"/>
      <c r="H103" s="25"/>
    </row>
    <row r="104" spans="1:8" hidden="1" x14ac:dyDescent="0.25">
      <c r="A104" s="25"/>
      <c r="B104" s="25"/>
      <c r="C104" s="25"/>
      <c r="D104" s="25"/>
      <c r="E104" s="25"/>
      <c r="F104" s="25"/>
      <c r="G104" s="25"/>
      <c r="H104" s="25"/>
    </row>
    <row r="105" spans="1:8" hidden="1" x14ac:dyDescent="0.25">
      <c r="A105" s="25"/>
      <c r="B105" s="25"/>
      <c r="C105" s="25"/>
      <c r="D105" s="25"/>
      <c r="E105" s="25"/>
      <c r="F105" s="25"/>
      <c r="G105" s="25"/>
      <c r="H105" s="25"/>
    </row>
    <row r="106" spans="1:8" hidden="1" x14ac:dyDescent="0.25">
      <c r="A106" s="25"/>
      <c r="B106" s="25"/>
      <c r="C106" s="25"/>
      <c r="D106" s="25"/>
      <c r="E106" s="25"/>
      <c r="F106" s="25"/>
      <c r="G106" s="25"/>
      <c r="H106" s="25"/>
    </row>
    <row r="107" spans="1:8" hidden="1" x14ac:dyDescent="0.25">
      <c r="A107" s="25"/>
      <c r="B107" s="25"/>
      <c r="C107" s="25"/>
      <c r="D107" s="25"/>
      <c r="E107" s="25"/>
      <c r="F107" s="25"/>
      <c r="G107" s="25"/>
      <c r="H107" s="25"/>
    </row>
    <row r="108" spans="1:8" hidden="1" x14ac:dyDescent="0.25">
      <c r="A108" s="25"/>
      <c r="B108" s="25"/>
      <c r="C108" s="25"/>
      <c r="D108" s="25"/>
      <c r="E108" s="25"/>
      <c r="F108" s="25"/>
      <c r="G108" s="25"/>
      <c r="H108" s="25"/>
    </row>
    <row r="109" spans="1:8" hidden="1" x14ac:dyDescent="0.25">
      <c r="A109" s="25"/>
      <c r="B109" s="25"/>
      <c r="C109" s="25"/>
      <c r="D109" s="25"/>
      <c r="E109" s="25"/>
      <c r="F109" s="25"/>
      <c r="G109" s="25"/>
      <c r="H109" s="25"/>
    </row>
    <row r="110" spans="1:8" hidden="1" x14ac:dyDescent="0.25">
      <c r="A110" s="25"/>
      <c r="B110" s="25"/>
      <c r="C110" s="25"/>
      <c r="D110" s="25"/>
      <c r="E110" s="25"/>
      <c r="F110" s="25"/>
      <c r="G110" s="25"/>
      <c r="H110" s="25"/>
    </row>
    <row r="111" spans="1:8" hidden="1" x14ac:dyDescent="0.25">
      <c r="A111" s="25"/>
      <c r="B111" s="25"/>
      <c r="C111" s="25"/>
      <c r="D111" s="25"/>
      <c r="E111" s="25"/>
      <c r="F111" s="25"/>
      <c r="G111" s="25"/>
      <c r="H111" s="25"/>
    </row>
    <row r="112" spans="1:8" hidden="1" x14ac:dyDescent="0.25">
      <c r="A112" s="25"/>
      <c r="B112" s="25"/>
      <c r="C112" s="25"/>
      <c r="D112" s="25"/>
      <c r="E112" s="25"/>
      <c r="F112" s="25"/>
      <c r="G112" s="25"/>
      <c r="H112" s="25"/>
    </row>
    <row r="113" spans="1:8" hidden="1" x14ac:dyDescent="0.25">
      <c r="A113" s="25"/>
      <c r="B113" s="25"/>
      <c r="C113" s="25"/>
      <c r="D113" s="25"/>
      <c r="E113" s="25"/>
      <c r="F113" s="25"/>
      <c r="G113" s="25"/>
      <c r="H113" s="25"/>
    </row>
    <row r="114" spans="1:8" hidden="1" x14ac:dyDescent="0.25">
      <c r="A114" s="25"/>
      <c r="B114" s="25"/>
      <c r="C114" s="25"/>
      <c r="D114" s="25"/>
      <c r="E114" s="25"/>
      <c r="F114" s="25"/>
      <c r="G114" s="25"/>
      <c r="H114" s="25"/>
    </row>
    <row r="115" spans="1:8" hidden="1" x14ac:dyDescent="0.25">
      <c r="A115" s="25"/>
      <c r="B115" s="25"/>
      <c r="C115" s="25"/>
      <c r="D115" s="25"/>
      <c r="E115" s="25"/>
      <c r="F115" s="25"/>
      <c r="G115" s="25"/>
      <c r="H115" s="25"/>
    </row>
    <row r="116" spans="1:8" hidden="1" x14ac:dyDescent="0.25">
      <c r="A116" s="25"/>
      <c r="B116" s="25"/>
      <c r="C116" s="25"/>
      <c r="D116" s="25"/>
      <c r="E116" s="25"/>
      <c r="F116" s="25"/>
      <c r="G116" s="25"/>
      <c r="H116" s="25"/>
    </row>
    <row r="117" spans="1:8" hidden="1" x14ac:dyDescent="0.25">
      <c r="A117" s="25"/>
      <c r="B117" s="25"/>
      <c r="C117" s="25"/>
      <c r="D117" s="25"/>
      <c r="E117" s="25"/>
      <c r="F117" s="25"/>
      <c r="G117" s="25"/>
      <c r="H117" s="25"/>
    </row>
    <row r="118" spans="1:8" hidden="1" x14ac:dyDescent="0.25">
      <c r="A118" s="25"/>
      <c r="B118" s="25"/>
      <c r="C118" s="25"/>
      <c r="D118" s="25"/>
      <c r="E118" s="25"/>
      <c r="F118" s="25"/>
      <c r="G118" s="25"/>
      <c r="H118" s="25"/>
    </row>
    <row r="119" spans="1:8" hidden="1" x14ac:dyDescent="0.25">
      <c r="A119" s="25"/>
      <c r="B119" s="25"/>
      <c r="C119" s="25"/>
      <c r="D119" s="25"/>
      <c r="E119" s="25"/>
      <c r="F119" s="25"/>
      <c r="G119" s="25"/>
      <c r="H119" s="25"/>
    </row>
    <row r="120" spans="1:8" hidden="1" x14ac:dyDescent="0.25">
      <c r="A120" s="25"/>
      <c r="B120" s="25"/>
      <c r="C120" s="25"/>
      <c r="D120" s="25"/>
      <c r="E120" s="25"/>
      <c r="F120" s="25"/>
      <c r="G120" s="25"/>
      <c r="H120" s="25"/>
    </row>
    <row r="121" spans="1:8" hidden="1" x14ac:dyDescent="0.25">
      <c r="A121" s="25"/>
      <c r="B121" s="25"/>
      <c r="C121" s="25"/>
      <c r="D121" s="25"/>
      <c r="E121" s="25"/>
      <c r="F121" s="25"/>
      <c r="G121" s="25"/>
      <c r="H121" s="25"/>
    </row>
    <row r="122" spans="1:8" hidden="1" x14ac:dyDescent="0.25">
      <c r="A122" s="25"/>
      <c r="B122" s="25"/>
      <c r="C122" s="25"/>
      <c r="D122" s="25"/>
      <c r="E122" s="25"/>
      <c r="F122" s="25"/>
      <c r="G122" s="25"/>
      <c r="H122" s="25"/>
    </row>
    <row r="123" spans="1:8" hidden="1" x14ac:dyDescent="0.25">
      <c r="A123" s="25"/>
      <c r="B123" s="25"/>
      <c r="C123" s="25"/>
      <c r="D123" s="25"/>
      <c r="E123" s="25"/>
      <c r="F123" s="25"/>
      <c r="G123" s="25"/>
      <c r="H123" s="25"/>
    </row>
    <row r="124" spans="1:8" hidden="1" x14ac:dyDescent="0.25">
      <c r="A124" s="25"/>
      <c r="B124" s="25"/>
      <c r="C124" s="25"/>
      <c r="D124" s="25"/>
      <c r="E124" s="25"/>
      <c r="F124" s="25"/>
      <c r="G124" s="25"/>
      <c r="H124" s="25"/>
    </row>
    <row r="125" spans="1:8" hidden="1" x14ac:dyDescent="0.25">
      <c r="A125" s="25"/>
      <c r="B125" s="25"/>
      <c r="C125" s="25"/>
      <c r="D125" s="25"/>
      <c r="E125" s="25"/>
      <c r="F125" s="25"/>
      <c r="G125" s="25"/>
      <c r="H125" s="25"/>
    </row>
    <row r="126" spans="1:8" hidden="1" x14ac:dyDescent="0.25">
      <c r="A126" s="25"/>
      <c r="B126" s="25"/>
      <c r="C126" s="25"/>
      <c r="D126" s="25"/>
      <c r="E126" s="25"/>
      <c r="F126" s="25"/>
      <c r="G126" s="25"/>
      <c r="H126" s="25"/>
    </row>
    <row r="127" spans="1:8" hidden="1" x14ac:dyDescent="0.25">
      <c r="A127" s="25"/>
      <c r="B127" s="25"/>
      <c r="C127" s="25"/>
      <c r="D127" s="25"/>
      <c r="E127" s="25"/>
      <c r="F127" s="25"/>
      <c r="G127" s="25"/>
      <c r="H127" s="25"/>
    </row>
    <row r="128" spans="1:8" hidden="1" x14ac:dyDescent="0.25">
      <c r="A128" s="25"/>
      <c r="B128" s="25"/>
      <c r="C128" s="25"/>
      <c r="D128" s="25"/>
      <c r="E128" s="25"/>
      <c r="F128" s="25"/>
      <c r="G128" s="25"/>
      <c r="H128" s="25"/>
    </row>
    <row r="129" spans="1:8" hidden="1" x14ac:dyDescent="0.25">
      <c r="A129" s="25"/>
      <c r="B129" s="25"/>
      <c r="C129" s="25"/>
      <c r="D129" s="25"/>
      <c r="E129" s="25"/>
      <c r="F129" s="25"/>
      <c r="G129" s="25"/>
      <c r="H129" s="25"/>
    </row>
    <row r="130" spans="1:8" hidden="1" x14ac:dyDescent="0.25">
      <c r="A130" s="25"/>
      <c r="B130" s="25"/>
      <c r="C130" s="25"/>
      <c r="D130" s="25"/>
      <c r="E130" s="25"/>
      <c r="F130" s="25"/>
      <c r="G130" s="25"/>
      <c r="H130" s="25"/>
    </row>
    <row r="131" spans="1:8" hidden="1" x14ac:dyDescent="0.25">
      <c r="A131" s="25"/>
      <c r="B131" s="25"/>
      <c r="C131" s="25"/>
      <c r="D131" s="25"/>
      <c r="E131" s="25"/>
      <c r="F131" s="25"/>
      <c r="G131" s="25"/>
      <c r="H131" s="25"/>
    </row>
    <row r="132" spans="1:8" hidden="1" x14ac:dyDescent="0.25">
      <c r="A132" s="25"/>
      <c r="B132" s="25"/>
      <c r="C132" s="25"/>
      <c r="D132" s="25"/>
      <c r="E132" s="25"/>
      <c r="F132" s="25"/>
      <c r="G132" s="25"/>
      <c r="H132" s="25"/>
    </row>
    <row r="133" spans="1:8" hidden="1" x14ac:dyDescent="0.25">
      <c r="A133" s="25"/>
      <c r="B133" s="25"/>
      <c r="C133" s="25"/>
      <c r="D133" s="25"/>
      <c r="E133" s="25"/>
      <c r="F133" s="25"/>
      <c r="G133" s="25"/>
      <c r="H133" s="25"/>
    </row>
    <row r="134" spans="1:8" hidden="1" x14ac:dyDescent="0.25">
      <c r="A134" s="25"/>
      <c r="B134" s="25"/>
      <c r="C134" s="25"/>
      <c r="D134" s="25"/>
      <c r="E134" s="25"/>
      <c r="F134" s="25"/>
      <c r="G134" s="25"/>
      <c r="H134" s="25"/>
    </row>
    <row r="135" spans="1:8" hidden="1" x14ac:dyDescent="0.25">
      <c r="A135" s="25"/>
      <c r="B135" s="25"/>
      <c r="C135" s="25"/>
      <c r="D135" s="25"/>
      <c r="E135" s="25"/>
      <c r="F135" s="25"/>
      <c r="G135" s="25"/>
      <c r="H135" s="25"/>
    </row>
    <row r="136" spans="1:8" hidden="1" x14ac:dyDescent="0.25">
      <c r="A136" s="25"/>
      <c r="B136" s="25"/>
      <c r="C136" s="25"/>
      <c r="D136" s="25"/>
      <c r="E136" s="25"/>
      <c r="F136" s="25"/>
      <c r="G136" s="25"/>
      <c r="H136" s="25"/>
    </row>
    <row r="137" spans="1:8" hidden="1" x14ac:dyDescent="0.25">
      <c r="A137" s="25"/>
      <c r="B137" s="25"/>
      <c r="C137" s="25"/>
      <c r="D137" s="25"/>
      <c r="E137" s="25"/>
      <c r="F137" s="25"/>
      <c r="G137" s="25"/>
      <c r="H137" s="25"/>
    </row>
    <row r="138" spans="1:8" hidden="1" x14ac:dyDescent="0.25">
      <c r="A138" s="25"/>
      <c r="B138" s="25"/>
      <c r="C138" s="25"/>
      <c r="D138" s="25"/>
      <c r="E138" s="25"/>
      <c r="F138" s="25"/>
      <c r="G138" s="25"/>
      <c r="H138" s="25"/>
    </row>
    <row r="139" spans="1:8" hidden="1" x14ac:dyDescent="0.25">
      <c r="A139" s="25"/>
      <c r="B139" s="25"/>
      <c r="C139" s="25"/>
      <c r="D139" s="25"/>
      <c r="E139" s="25"/>
      <c r="F139" s="25"/>
      <c r="G139" s="25"/>
      <c r="H139" s="25"/>
    </row>
    <row r="140" spans="1:8" hidden="1" x14ac:dyDescent="0.25">
      <c r="A140" s="25"/>
      <c r="B140" s="25"/>
      <c r="C140" s="25"/>
      <c r="D140" s="25"/>
      <c r="E140" s="25"/>
      <c r="F140" s="25"/>
      <c r="G140" s="25"/>
      <c r="H140" s="25"/>
    </row>
    <row r="141" spans="1:8" hidden="1" x14ac:dyDescent="0.25">
      <c r="A141" s="25"/>
      <c r="B141" s="25"/>
      <c r="C141" s="25"/>
      <c r="D141" s="25"/>
      <c r="E141" s="25"/>
      <c r="F141" s="25"/>
      <c r="G141" s="25"/>
      <c r="H141" s="25"/>
    </row>
    <row r="142" spans="1:8" hidden="1" x14ac:dyDescent="0.25">
      <c r="A142" s="25"/>
      <c r="B142" s="25"/>
      <c r="C142" s="25"/>
      <c r="D142" s="25"/>
      <c r="E142" s="25"/>
      <c r="F142" s="25"/>
      <c r="G142" s="25"/>
      <c r="H142" s="25"/>
    </row>
    <row r="143" spans="1:8" hidden="1" x14ac:dyDescent="0.25">
      <c r="A143" s="25"/>
      <c r="B143" s="25"/>
      <c r="C143" s="25"/>
      <c r="D143" s="25"/>
      <c r="E143" s="25"/>
      <c r="F143" s="25"/>
      <c r="G143" s="25"/>
      <c r="H143" s="25"/>
    </row>
    <row r="144" spans="1:8" hidden="1" x14ac:dyDescent="0.25">
      <c r="A144" s="25"/>
      <c r="B144" s="25"/>
      <c r="C144" s="25"/>
      <c r="D144" s="25"/>
      <c r="E144" s="25"/>
      <c r="F144" s="25"/>
      <c r="G144" s="25"/>
      <c r="H144" s="25"/>
    </row>
    <row r="145" spans="1:8" hidden="1" x14ac:dyDescent="0.25">
      <c r="A145" s="25"/>
      <c r="B145" s="25"/>
      <c r="C145" s="25"/>
      <c r="D145" s="25"/>
      <c r="E145" s="25"/>
      <c r="F145" s="25"/>
      <c r="G145" s="25"/>
      <c r="H145" s="25"/>
    </row>
    <row r="146" spans="1:8" hidden="1" x14ac:dyDescent="0.25">
      <c r="A146" s="25"/>
      <c r="B146" s="25"/>
      <c r="C146" s="25"/>
      <c r="D146" s="25"/>
      <c r="E146" s="25"/>
      <c r="F146" s="25"/>
      <c r="G146" s="25"/>
      <c r="H146" s="25"/>
    </row>
    <row r="147" spans="1:8" hidden="1" x14ac:dyDescent="0.25">
      <c r="A147" s="25"/>
      <c r="B147" s="25"/>
      <c r="C147" s="25"/>
      <c r="D147" s="25"/>
      <c r="E147" s="25"/>
      <c r="F147" s="25"/>
      <c r="G147" s="25"/>
      <c r="H147" s="25"/>
    </row>
    <row r="148" spans="1:8" hidden="1" x14ac:dyDescent="0.25">
      <c r="A148" s="25"/>
      <c r="B148" s="25"/>
      <c r="C148" s="25"/>
      <c r="D148" s="25"/>
      <c r="E148" s="25"/>
      <c r="F148" s="25"/>
      <c r="G148" s="25"/>
      <c r="H148" s="25"/>
    </row>
    <row r="149" spans="1:8" hidden="1" x14ac:dyDescent="0.25">
      <c r="A149" s="25"/>
      <c r="B149" s="25"/>
      <c r="C149" s="25"/>
      <c r="D149" s="25"/>
      <c r="E149" s="25"/>
      <c r="F149" s="25"/>
      <c r="G149" s="25"/>
      <c r="H149" s="25"/>
    </row>
    <row r="150" spans="1:8" hidden="1" x14ac:dyDescent="0.25">
      <c r="A150" s="25"/>
      <c r="B150" s="25"/>
      <c r="C150" s="25"/>
      <c r="D150" s="25"/>
      <c r="E150" s="25"/>
      <c r="F150" s="25"/>
      <c r="G150" s="25"/>
      <c r="H150" s="25"/>
    </row>
    <row r="151" spans="1:8" hidden="1" x14ac:dyDescent="0.25">
      <c r="A151" s="25"/>
      <c r="B151" s="25"/>
      <c r="C151" s="25"/>
    </row>
    <row r="152" spans="1:8" hidden="1" x14ac:dyDescent="0.25">
      <c r="A152" s="25"/>
      <c r="B152" s="25"/>
      <c r="C152" s="25"/>
    </row>
    <row r="153" spans="1:8" hidden="1" x14ac:dyDescent="0.25">
      <c r="A153" s="25"/>
      <c r="B153" s="25"/>
      <c r="C153" s="25"/>
    </row>
    <row r="154" spans="1:8" hidden="1" x14ac:dyDescent="0.25">
      <c r="A154" s="25"/>
      <c r="B154" s="25"/>
      <c r="C154" s="25"/>
    </row>
    <row r="155" spans="1:8" hidden="1" x14ac:dyDescent="0.25">
      <c r="A155" s="25"/>
      <c r="B155" s="25"/>
      <c r="C155" s="25"/>
    </row>
    <row r="156" spans="1:8" hidden="1" x14ac:dyDescent="0.25">
      <c r="A156" s="25"/>
      <c r="B156" s="25"/>
      <c r="C156" s="25"/>
    </row>
    <row r="157" spans="1:8" hidden="1" x14ac:dyDescent="0.25">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29ba9f2-ec46-4979-814c-0bb9f6179669">
      <UserInfo>
        <DisplayName>Bird, Charlie</DisplayName>
        <AccountId>150</AccountId>
        <AccountType/>
      </UserInfo>
    </SharedWithUsers>
    <_activity xmlns="2be2c850-f54f-4e44-a6b3-72861abb97a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445DC60074DD049B317E7CD00D23347" ma:contentTypeVersion="15" ma:contentTypeDescription="Create a new document." ma:contentTypeScope="" ma:versionID="ed2c14a83dc05cd8b888866f5ea122db">
  <xsd:schema xmlns:xsd="http://www.w3.org/2001/XMLSchema" xmlns:xs="http://www.w3.org/2001/XMLSchema" xmlns:p="http://schemas.microsoft.com/office/2006/metadata/properties" xmlns:ns3="2be2c850-f54f-4e44-a6b3-72861abb97a2" xmlns:ns4="129ba9f2-ec46-4979-814c-0bb9f6179669" targetNamespace="http://schemas.microsoft.com/office/2006/metadata/properties" ma:root="true" ma:fieldsID="499501186012bbcc365cfcfb075034ed" ns3:_="" ns4:_="">
    <xsd:import namespace="2be2c850-f54f-4e44-a6b3-72861abb97a2"/>
    <xsd:import namespace="129ba9f2-ec46-4979-814c-0bb9f6179669"/>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element ref="ns3:MediaServiceDateTaken"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2c850-f54f-4e44-a6b3-72861abb9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9ba9f2-ec46-4979-814c-0bb9f61796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7B7032-2DF6-4F5B-9CAF-D3F582EC019C}">
  <ds:schemaRefs>
    <ds:schemaRef ds:uri="http://purl.org/dc/term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2be2c850-f54f-4e44-a6b3-72861abb97a2"/>
    <ds:schemaRef ds:uri="129ba9f2-ec46-4979-814c-0bb9f6179669"/>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F64EA654-ADD3-4D15-A921-C016F22B6D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e2c850-f54f-4e44-a6b3-72861abb97a2"/>
    <ds:schemaRef ds:uri="129ba9f2-ec46-4979-814c-0bb9f61796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62FBED-CC6F-4361-B351-FEF6C51D96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47</vt:i4>
      </vt:variant>
    </vt:vector>
  </HeadingPairs>
  <TitlesOfParts>
    <vt:vector size="59"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Harry Simpson</cp:lastModifiedBy>
  <cp:revision/>
  <cp:lastPrinted>2024-12-11T11:46:44Z</cp:lastPrinted>
  <dcterms:created xsi:type="dcterms:W3CDTF">2020-09-14T13:04:31Z</dcterms:created>
  <dcterms:modified xsi:type="dcterms:W3CDTF">2024-12-20T10:08:56Z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