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mpany Shared Files\Database Live Projects\Barry Kitcherside\Live\208 - Reading\Revised Council submission July 2020\"/>
    </mc:Choice>
  </mc:AlternateContent>
  <xr:revisionPtr revIDLastSave="0" documentId="13_ncr:1_{C1B5590F-327B-47F5-ADDF-C2E1617723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ummary" sheetId="4" r:id="rId1"/>
    <sheet name="Residential Revenue" sheetId="1" r:id="rId2"/>
    <sheet name="Residential Costs" sheetId="2" r:id="rId3"/>
    <sheet name=" Commercial Revenue" sheetId="3" r:id="rId4"/>
    <sheet name="Commercial Costs" sheetId="6" r:id="rId5"/>
    <sheet name="Land " sheetId="9" r:id="rId6"/>
    <sheet name="Residential DCF" sheetId="10" r:id="rId7"/>
    <sheet name="Commercial DCF" sheetId="12" r:id="rId8"/>
  </sheets>
  <calcPr calcId="191029" refMode="R1C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8" i="6" l="1"/>
  <c r="B55" i="2"/>
  <c r="B25" i="2"/>
  <c r="B10" i="2"/>
  <c r="B22" i="2"/>
  <c r="B42" i="6"/>
  <c r="B40" i="6"/>
  <c r="E22" i="3"/>
  <c r="E24" i="3"/>
  <c r="B22" i="3"/>
  <c r="B29" i="4"/>
  <c r="B31" i="4"/>
  <c r="B30" i="4"/>
  <c r="I10" i="3"/>
  <c r="G10" i="3"/>
  <c r="E10" i="3"/>
  <c r="G7" i="3"/>
  <c r="K44" i="1"/>
  <c r="K43" i="1"/>
  <c r="K35" i="1"/>
  <c r="K39" i="1"/>
  <c r="K111" i="1"/>
  <c r="L44" i="1"/>
  <c r="L43" i="1"/>
  <c r="L35" i="1"/>
  <c r="L39" i="1"/>
  <c r="L111" i="1"/>
  <c r="B111" i="1"/>
  <c r="B112" i="1"/>
  <c r="B8" i="2"/>
  <c r="G40" i="2"/>
  <c r="I40" i="2"/>
  <c r="B49" i="2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I9" i="3"/>
  <c r="I8" i="3"/>
  <c r="E6" i="3"/>
  <c r="G6" i="3"/>
  <c r="I6" i="3"/>
  <c r="Z9" i="1"/>
  <c r="P7" i="1"/>
  <c r="B16" i="9"/>
  <c r="E21" i="3"/>
  <c r="E20" i="3"/>
  <c r="E19" i="3"/>
  <c r="E18" i="3"/>
  <c r="E17" i="3"/>
  <c r="E16" i="3"/>
  <c r="E15" i="3"/>
  <c r="E14" i="3"/>
  <c r="E13" i="3"/>
  <c r="E12" i="3"/>
  <c r="E11" i="3"/>
  <c r="E9" i="3"/>
  <c r="G9" i="3"/>
  <c r="E8" i="3"/>
  <c r="E7" i="3"/>
  <c r="I7" i="3"/>
  <c r="I22" i="3"/>
  <c r="B40" i="4"/>
  <c r="M131" i="1"/>
  <c r="E13" i="12"/>
  <c r="T27" i="12"/>
  <c r="AT18" i="12"/>
  <c r="AS18" i="12"/>
  <c r="AL18" i="12"/>
  <c r="AK18" i="12"/>
  <c r="AD18" i="12"/>
  <c r="AW17" i="12"/>
  <c r="AW18" i="12"/>
  <c r="AV17" i="12"/>
  <c r="AV18" i="12"/>
  <c r="AU17" i="12"/>
  <c r="AU18" i="12"/>
  <c r="AT17" i="12"/>
  <c r="AS17" i="12"/>
  <c r="AR17" i="12"/>
  <c r="AR18" i="12"/>
  <c r="AQ17" i="12"/>
  <c r="AQ18" i="12"/>
  <c r="AP17" i="12"/>
  <c r="AO17" i="12"/>
  <c r="AO18" i="12"/>
  <c r="AN17" i="12"/>
  <c r="AN18" i="12"/>
  <c r="AM17" i="12"/>
  <c r="AM18" i="12"/>
  <c r="AL17" i="12"/>
  <c r="AK17" i="12"/>
  <c r="AJ17" i="12"/>
  <c r="AJ18" i="12"/>
  <c r="AI17" i="12"/>
  <c r="AI18" i="12"/>
  <c r="AH17" i="12"/>
  <c r="AG17" i="12"/>
  <c r="AF17" i="12"/>
  <c r="AE17" i="12"/>
  <c r="AE18" i="12"/>
  <c r="AD17" i="12"/>
  <c r="AC17" i="12"/>
  <c r="AB17" i="12"/>
  <c r="AA17" i="12"/>
  <c r="Z17" i="12"/>
  <c r="Y17" i="12"/>
  <c r="X17" i="12"/>
  <c r="W17" i="12"/>
  <c r="W18" i="12"/>
  <c r="V17" i="12"/>
  <c r="U17" i="12"/>
  <c r="T17" i="12"/>
  <c r="S17" i="12"/>
  <c r="R17" i="12"/>
  <c r="Q17" i="12"/>
  <c r="P17" i="12"/>
  <c r="O17" i="12"/>
  <c r="O18" i="12"/>
  <c r="N17" i="12"/>
  <c r="M17" i="12"/>
  <c r="L17" i="12"/>
  <c r="K17" i="12"/>
  <c r="J17" i="12"/>
  <c r="I17" i="12"/>
  <c r="H17" i="12"/>
  <c r="G17" i="12"/>
  <c r="G18" i="12"/>
  <c r="F17" i="12"/>
  <c r="E17" i="12"/>
  <c r="D17" i="12"/>
  <c r="C17" i="12"/>
  <c r="B17" i="12"/>
  <c r="AX16" i="12"/>
  <c r="B38" i="12"/>
  <c r="AX15" i="12"/>
  <c r="B37" i="12"/>
  <c r="AW13" i="12"/>
  <c r="AV13" i="12"/>
  <c r="AU13" i="12"/>
  <c r="AT13" i="12"/>
  <c r="AS13" i="12"/>
  <c r="AR13" i="12"/>
  <c r="AQ13" i="12"/>
  <c r="AP13" i="12"/>
  <c r="AP18" i="12"/>
  <c r="AO13" i="12"/>
  <c r="AN13" i="12"/>
  <c r="AM13" i="12"/>
  <c r="AL13" i="12"/>
  <c r="AK13" i="12"/>
  <c r="AJ13" i="12"/>
  <c r="AI13" i="12"/>
  <c r="AH13" i="12"/>
  <c r="AH18" i="12"/>
  <c r="AG13" i="12"/>
  <c r="AF13" i="12"/>
  <c r="AE13" i="12"/>
  <c r="AD13" i="12"/>
  <c r="AC13" i="12"/>
  <c r="AC18" i="12"/>
  <c r="AB13" i="12"/>
  <c r="AA13" i="12"/>
  <c r="Z13" i="12"/>
  <c r="Z18" i="12"/>
  <c r="Y13" i="12"/>
  <c r="X13" i="12"/>
  <c r="W13" i="12"/>
  <c r="V13" i="12"/>
  <c r="V18" i="12"/>
  <c r="U13" i="12"/>
  <c r="T13" i="12"/>
  <c r="S13" i="12"/>
  <c r="R13" i="12"/>
  <c r="R18" i="12"/>
  <c r="Q13" i="12"/>
  <c r="P13" i="12"/>
  <c r="O13" i="12"/>
  <c r="N13" i="12"/>
  <c r="N18" i="12"/>
  <c r="M13" i="12"/>
  <c r="L13" i="12"/>
  <c r="K13" i="12"/>
  <c r="J13" i="12"/>
  <c r="J18" i="12"/>
  <c r="I13" i="12"/>
  <c r="H13" i="12"/>
  <c r="G13" i="12"/>
  <c r="F13" i="12"/>
  <c r="F18" i="12"/>
  <c r="D13" i="12"/>
  <c r="C13" i="12"/>
  <c r="B13" i="12"/>
  <c r="AX11" i="12"/>
  <c r="B33" i="12"/>
  <c r="AX10" i="12"/>
  <c r="B32" i="12"/>
  <c r="AX9" i="12"/>
  <c r="B31" i="12"/>
  <c r="AX8" i="12"/>
  <c r="B30" i="12"/>
  <c r="AX7" i="12"/>
  <c r="B29" i="12"/>
  <c r="AX17" i="12"/>
  <c r="B40" i="12"/>
  <c r="I18" i="12"/>
  <c r="Y18" i="12"/>
  <c r="AG18" i="12"/>
  <c r="Q18" i="12"/>
  <c r="C18" i="12"/>
  <c r="K18" i="12"/>
  <c r="S18" i="12"/>
  <c r="AA18" i="12"/>
  <c r="D18" i="12"/>
  <c r="L18" i="12"/>
  <c r="T18" i="12"/>
  <c r="AB18" i="12"/>
  <c r="E18" i="12"/>
  <c r="M18" i="12"/>
  <c r="U18" i="12"/>
  <c r="AX13" i="12"/>
  <c r="B35" i="12"/>
  <c r="H18" i="12"/>
  <c r="P18" i="12"/>
  <c r="X18" i="12"/>
  <c r="AF18" i="12"/>
  <c r="B18" i="12"/>
  <c r="AX16" i="10"/>
  <c r="B38" i="10"/>
  <c r="AW17" i="10"/>
  <c r="AV17" i="10"/>
  <c r="AU17" i="10"/>
  <c r="AT17" i="10"/>
  <c r="AS17" i="10"/>
  <c r="AR17" i="10"/>
  <c r="AQ17" i="10"/>
  <c r="AP17" i="10"/>
  <c r="AO17" i="10"/>
  <c r="AN17" i="10"/>
  <c r="AM17" i="10"/>
  <c r="AL17" i="10"/>
  <c r="AK17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B17" i="10"/>
  <c r="T27" i="10"/>
  <c r="P18" i="10"/>
  <c r="R18" i="10"/>
  <c r="M18" i="10"/>
  <c r="U18" i="10"/>
  <c r="Z18" i="10"/>
  <c r="B20" i="12"/>
  <c r="AX18" i="12"/>
  <c r="AX17" i="10"/>
  <c r="B40" i="10"/>
  <c r="AX15" i="10"/>
  <c r="B37" i="10"/>
  <c r="AW13" i="10"/>
  <c r="AW18" i="10"/>
  <c r="AV13" i="10"/>
  <c r="AV18" i="10"/>
  <c r="AU13" i="10"/>
  <c r="AU18" i="10"/>
  <c r="AT13" i="10"/>
  <c r="AT18" i="10"/>
  <c r="AS13" i="10"/>
  <c r="AS18" i="10"/>
  <c r="AR13" i="10"/>
  <c r="AR18" i="10"/>
  <c r="AQ13" i="10"/>
  <c r="AQ18" i="10"/>
  <c r="AP13" i="10"/>
  <c r="AP18" i="10"/>
  <c r="AO13" i="10"/>
  <c r="AO18" i="10"/>
  <c r="AN13" i="10"/>
  <c r="AN18" i="10"/>
  <c r="AM13" i="10"/>
  <c r="AM18" i="10"/>
  <c r="AL13" i="10"/>
  <c r="AL18" i="10"/>
  <c r="AK13" i="10"/>
  <c r="AK18" i="10"/>
  <c r="AJ13" i="10"/>
  <c r="AJ18" i="10"/>
  <c r="AI13" i="10"/>
  <c r="AI18" i="10"/>
  <c r="AH13" i="10"/>
  <c r="AH18" i="10"/>
  <c r="AG13" i="10"/>
  <c r="AG18" i="10"/>
  <c r="AF13" i="10"/>
  <c r="AF18" i="10"/>
  <c r="AE13" i="10"/>
  <c r="AE18" i="10"/>
  <c r="AD13" i="10"/>
  <c r="AD18" i="10"/>
  <c r="AC13" i="10"/>
  <c r="AC18" i="10"/>
  <c r="AB13" i="10"/>
  <c r="AB18" i="10"/>
  <c r="AA13" i="10"/>
  <c r="AA18" i="10"/>
  <c r="Z13" i="10"/>
  <c r="Y13" i="10"/>
  <c r="Y18" i="10"/>
  <c r="X13" i="10"/>
  <c r="X18" i="10"/>
  <c r="W13" i="10"/>
  <c r="W18" i="10"/>
  <c r="V13" i="10"/>
  <c r="V18" i="10"/>
  <c r="U13" i="10"/>
  <c r="T13" i="10"/>
  <c r="T18" i="10"/>
  <c r="S13" i="10"/>
  <c r="S18" i="10"/>
  <c r="R13" i="10"/>
  <c r="Q13" i="10"/>
  <c r="Q18" i="10"/>
  <c r="P13" i="10"/>
  <c r="O13" i="10"/>
  <c r="O18" i="10"/>
  <c r="N13" i="10"/>
  <c r="N18" i="10"/>
  <c r="M13" i="10"/>
  <c r="L13" i="10"/>
  <c r="L18" i="10"/>
  <c r="K13" i="10"/>
  <c r="K18" i="10"/>
  <c r="J13" i="10"/>
  <c r="J18" i="10"/>
  <c r="I13" i="10"/>
  <c r="I18" i="10"/>
  <c r="H13" i="10"/>
  <c r="H18" i="10"/>
  <c r="G13" i="10"/>
  <c r="G18" i="10"/>
  <c r="F13" i="10"/>
  <c r="F18" i="10"/>
  <c r="E13" i="10"/>
  <c r="E18" i="10"/>
  <c r="D13" i="10"/>
  <c r="D18" i="10"/>
  <c r="C13" i="10"/>
  <c r="C18" i="10"/>
  <c r="B13" i="10"/>
  <c r="B18" i="10"/>
  <c r="AX11" i="10"/>
  <c r="B33" i="10"/>
  <c r="AX10" i="10"/>
  <c r="B32" i="10"/>
  <c r="AX9" i="10"/>
  <c r="B31" i="10"/>
  <c r="AX8" i="10"/>
  <c r="B30" i="10"/>
  <c r="AX7" i="10"/>
  <c r="B29" i="10"/>
  <c r="B22" i="12"/>
  <c r="C20" i="12"/>
  <c r="AX13" i="10"/>
  <c r="B35" i="10"/>
  <c r="AX18" i="10"/>
  <c r="C22" i="12"/>
  <c r="D20" i="12"/>
  <c r="B20" i="10"/>
  <c r="B22" i="10"/>
  <c r="D22" i="12"/>
  <c r="E20" i="12"/>
  <c r="C20" i="10"/>
  <c r="E22" i="12"/>
  <c r="F20" i="12"/>
  <c r="C22" i="10"/>
  <c r="D20" i="10"/>
  <c r="F22" i="12"/>
  <c r="G20" i="12"/>
  <c r="D22" i="10"/>
  <c r="E20" i="10"/>
  <c r="G22" i="12"/>
  <c r="H20" i="12"/>
  <c r="E22" i="10"/>
  <c r="H22" i="12"/>
  <c r="I20" i="12"/>
  <c r="F20" i="10"/>
  <c r="I22" i="12"/>
  <c r="J20" i="12"/>
  <c r="F22" i="10"/>
  <c r="G20" i="10"/>
  <c r="J22" i="12"/>
  <c r="K20" i="12"/>
  <c r="G22" i="10"/>
  <c r="H20" i="10"/>
  <c r="K22" i="12"/>
  <c r="L20" i="12"/>
  <c r="H22" i="10"/>
  <c r="L22" i="12"/>
  <c r="M20" i="12"/>
  <c r="I20" i="10"/>
  <c r="M22" i="12"/>
  <c r="N20" i="12"/>
  <c r="I22" i="10"/>
  <c r="J20" i="10"/>
  <c r="N22" i="12"/>
  <c r="O20" i="12"/>
  <c r="J22" i="10"/>
  <c r="K20" i="10"/>
  <c r="O22" i="12"/>
  <c r="P20" i="12"/>
  <c r="K22" i="10"/>
  <c r="L20" i="10"/>
  <c r="P22" i="12"/>
  <c r="Q20" i="12"/>
  <c r="L22" i="10"/>
  <c r="M20" i="10"/>
  <c r="Q22" i="12"/>
  <c r="R20" i="12"/>
  <c r="M22" i="10"/>
  <c r="N20" i="10"/>
  <c r="R22" i="12"/>
  <c r="S20" i="12"/>
  <c r="N22" i="10"/>
  <c r="O20" i="10"/>
  <c r="S22" i="12"/>
  <c r="T20" i="12"/>
  <c r="O22" i="10"/>
  <c r="P20" i="10"/>
  <c r="T22" i="12"/>
  <c r="U20" i="12"/>
  <c r="P22" i="10"/>
  <c r="Q20" i="10"/>
  <c r="U22" i="12"/>
  <c r="V20" i="12"/>
  <c r="Q22" i="10"/>
  <c r="R20" i="10"/>
  <c r="V22" i="12"/>
  <c r="W20" i="12"/>
  <c r="R22" i="10"/>
  <c r="S20" i="10"/>
  <c r="W22" i="12"/>
  <c r="X20" i="12"/>
  <c r="S22" i="10"/>
  <c r="T20" i="10"/>
  <c r="X22" i="12"/>
  <c r="Y20" i="12"/>
  <c r="T22" i="10"/>
  <c r="U20" i="10"/>
  <c r="Y22" i="12"/>
  <c r="Z20" i="12"/>
  <c r="U22" i="10"/>
  <c r="V20" i="10"/>
  <c r="Z22" i="12"/>
  <c r="AA20" i="12"/>
  <c r="V22" i="10"/>
  <c r="W20" i="10"/>
  <c r="AA22" i="12"/>
  <c r="AB20" i="12"/>
  <c r="W22" i="10"/>
  <c r="X20" i="10"/>
  <c r="AB22" i="12"/>
  <c r="AC20" i="12"/>
  <c r="X22" i="10"/>
  <c r="Y20" i="10"/>
  <c r="AC22" i="12"/>
  <c r="AD20" i="12"/>
  <c r="Y22" i="10"/>
  <c r="Z20" i="10"/>
  <c r="AD22" i="12"/>
  <c r="AE20" i="12"/>
  <c r="Z22" i="10"/>
  <c r="AA20" i="10"/>
  <c r="AE22" i="12"/>
  <c r="AF20" i="12"/>
  <c r="AA22" i="10"/>
  <c r="AB20" i="10"/>
  <c r="AF22" i="12"/>
  <c r="AG20" i="12"/>
  <c r="AB22" i="10"/>
  <c r="AC20" i="10"/>
  <c r="AG22" i="12"/>
  <c r="AH20" i="12"/>
  <c r="AC22" i="10"/>
  <c r="AD20" i="10"/>
  <c r="AH22" i="12"/>
  <c r="AI20" i="12"/>
  <c r="AD22" i="10"/>
  <c r="AE20" i="10"/>
  <c r="AI22" i="12"/>
  <c r="AJ20" i="12"/>
  <c r="AE22" i="10"/>
  <c r="AF20" i="10"/>
  <c r="AJ22" i="12"/>
  <c r="AK20" i="12"/>
  <c r="AF22" i="10"/>
  <c r="AG20" i="10"/>
  <c r="AK22" i="12"/>
  <c r="AL20" i="12"/>
  <c r="AG22" i="10"/>
  <c r="AH20" i="10"/>
  <c r="AL22" i="12"/>
  <c r="AM20" i="12"/>
  <c r="AH22" i="10"/>
  <c r="AI20" i="10"/>
  <c r="AM22" i="12"/>
  <c r="AN20" i="12"/>
  <c r="AI22" i="10"/>
  <c r="AJ20" i="10"/>
  <c r="AN22" i="12"/>
  <c r="AO20" i="12"/>
  <c r="AJ22" i="10"/>
  <c r="AK20" i="10"/>
  <c r="AO22" i="12"/>
  <c r="AP20" i="12"/>
  <c r="AK22" i="10"/>
  <c r="AL20" i="10"/>
  <c r="AP22" i="12"/>
  <c r="AQ20" i="12"/>
  <c r="AL22" i="10"/>
  <c r="AM20" i="10"/>
  <c r="AQ22" i="12"/>
  <c r="AR20" i="12"/>
  <c r="AM22" i="10"/>
  <c r="AN20" i="10"/>
  <c r="AR22" i="12"/>
  <c r="AS20" i="12"/>
  <c r="AN22" i="10"/>
  <c r="AO20" i="10"/>
  <c r="AS22" i="12"/>
  <c r="AT20" i="12"/>
  <c r="AO22" i="10"/>
  <c r="AP20" i="10"/>
  <c r="AT22" i="12"/>
  <c r="AU20" i="12"/>
  <c r="AP22" i="10"/>
  <c r="AQ20" i="10"/>
  <c r="AU22" i="12"/>
  <c r="AV20" i="12"/>
  <c r="AQ22" i="10"/>
  <c r="AR20" i="10"/>
  <c r="AV22" i="12"/>
  <c r="AW20" i="12"/>
  <c r="AR22" i="10"/>
  <c r="AS20" i="10"/>
  <c r="AW22" i="12"/>
  <c r="AX22" i="12"/>
  <c r="B42" i="12"/>
  <c r="B59" i="6"/>
  <c r="AX20" i="12"/>
  <c r="AS22" i="10"/>
  <c r="AT20" i="10"/>
  <c r="AT22" i="10"/>
  <c r="AU20" i="10"/>
  <c r="AU22" i="10"/>
  <c r="AV20" i="10"/>
  <c r="AV22" i="10"/>
  <c r="AW20" i="10"/>
  <c r="AW22" i="10"/>
  <c r="AX20" i="10"/>
  <c r="AX22" i="10"/>
  <c r="B42" i="10"/>
  <c r="B60" i="2"/>
  <c r="H46" i="4"/>
  <c r="G54" i="6"/>
  <c r="I54" i="6"/>
  <c r="B51" i="6"/>
  <c r="B36" i="6"/>
  <c r="E18" i="6"/>
  <c r="C22" i="3"/>
  <c r="T29" i="12"/>
  <c r="G19" i="2"/>
  <c r="F130" i="1"/>
  <c r="F133" i="1"/>
  <c r="B7" i="9"/>
  <c r="G22" i="3"/>
  <c r="B8" i="6"/>
  <c r="B9" i="6"/>
  <c r="T29" i="10"/>
  <c r="B54" i="6"/>
  <c r="O41" i="10"/>
  <c r="O41" i="12"/>
  <c r="B64" i="6"/>
  <c r="B66" i="6"/>
  <c r="B11" i="6"/>
  <c r="E19" i="6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B21" i="6"/>
  <c r="B24" i="6"/>
  <c r="B26" i="6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B48" i="6"/>
  <c r="B57" i="6"/>
  <c r="N111" i="1"/>
  <c r="B15" i="4"/>
  <c r="K7" i="1"/>
  <c r="L7" i="1"/>
  <c r="O7" i="1"/>
  <c r="Q7" i="1"/>
  <c r="U7" i="1"/>
  <c r="T7" i="1"/>
  <c r="V7" i="1"/>
  <c r="K8" i="1"/>
  <c r="L8" i="1"/>
  <c r="O8" i="1"/>
  <c r="Q8" i="1"/>
  <c r="U8" i="1"/>
  <c r="T8" i="1"/>
  <c r="V8" i="1"/>
  <c r="K9" i="1"/>
  <c r="L9" i="1"/>
  <c r="O9" i="1"/>
  <c r="Q9" i="1"/>
  <c r="U9" i="1"/>
  <c r="T9" i="1"/>
  <c r="V9" i="1"/>
  <c r="K10" i="1"/>
  <c r="L10" i="1"/>
  <c r="O10" i="1"/>
  <c r="Q10" i="1"/>
  <c r="U10" i="1"/>
  <c r="T10" i="1"/>
  <c r="V10" i="1"/>
  <c r="K11" i="1"/>
  <c r="L11" i="1"/>
  <c r="O11" i="1"/>
  <c r="Q11" i="1"/>
  <c r="U11" i="1"/>
  <c r="T11" i="1"/>
  <c r="V11" i="1"/>
  <c r="K12" i="1"/>
  <c r="L12" i="1"/>
  <c r="O12" i="1"/>
  <c r="Q12" i="1"/>
  <c r="U12" i="1"/>
  <c r="T12" i="1"/>
  <c r="V12" i="1"/>
  <c r="K13" i="1"/>
  <c r="L13" i="1"/>
  <c r="O13" i="1"/>
  <c r="Q13" i="1"/>
  <c r="U13" i="1"/>
  <c r="T13" i="1"/>
  <c r="V13" i="1"/>
  <c r="K14" i="1"/>
  <c r="L14" i="1"/>
  <c r="O14" i="1"/>
  <c r="Q14" i="1"/>
  <c r="U14" i="1"/>
  <c r="T14" i="1"/>
  <c r="V14" i="1"/>
  <c r="W14" i="1"/>
  <c r="Y14" i="1"/>
  <c r="X14" i="1"/>
  <c r="W9" i="1"/>
  <c r="Y9" i="1"/>
  <c r="X9" i="1"/>
  <c r="W12" i="1"/>
  <c r="Y7" i="1"/>
  <c r="X7" i="1"/>
  <c r="W7" i="1"/>
  <c r="W13" i="1"/>
  <c r="Y13" i="1"/>
  <c r="X13" i="1"/>
  <c r="W11" i="1"/>
  <c r="W10" i="1"/>
  <c r="Y8" i="1"/>
  <c r="X8" i="1"/>
  <c r="Y11" i="1"/>
  <c r="X11" i="1"/>
  <c r="W8" i="1"/>
  <c r="Y12" i="1"/>
  <c r="X12" i="1"/>
  <c r="Y10" i="1"/>
  <c r="X10" i="1"/>
  <c r="C111" i="1"/>
  <c r="B9" i="2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2" i="1"/>
  <c r="L41" i="1"/>
  <c r="L40" i="1"/>
  <c r="L38" i="1"/>
  <c r="L37" i="1"/>
  <c r="L36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2" i="1"/>
  <c r="K41" i="1"/>
  <c r="K40" i="1"/>
  <c r="K38" i="1"/>
  <c r="K37" i="1"/>
  <c r="K36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S118" i="1"/>
  <c r="E111" i="1"/>
  <c r="F111" i="1"/>
  <c r="G111" i="1"/>
  <c r="H111" i="1"/>
  <c r="I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Q110" i="1"/>
  <c r="U110" i="1"/>
  <c r="Q109" i="1"/>
  <c r="U109" i="1"/>
  <c r="Q108" i="1"/>
  <c r="U108" i="1"/>
  <c r="W108" i="1"/>
  <c r="Q107" i="1"/>
  <c r="U107" i="1"/>
  <c r="W107" i="1"/>
  <c r="Q106" i="1"/>
  <c r="U106" i="1"/>
  <c r="Q105" i="1"/>
  <c r="U105" i="1"/>
  <c r="Q104" i="1"/>
  <c r="U104" i="1"/>
  <c r="W104" i="1"/>
  <c r="Q103" i="1"/>
  <c r="U103" i="1"/>
  <c r="W103" i="1"/>
  <c r="Q102" i="1"/>
  <c r="U102" i="1"/>
  <c r="Q101" i="1"/>
  <c r="U101" i="1"/>
  <c r="Q100" i="1"/>
  <c r="U100" i="1"/>
  <c r="W100" i="1"/>
  <c r="Q99" i="1"/>
  <c r="U99" i="1"/>
  <c r="W99" i="1"/>
  <c r="Q98" i="1"/>
  <c r="U98" i="1"/>
  <c r="Q97" i="1"/>
  <c r="U97" i="1"/>
  <c r="Q96" i="1"/>
  <c r="U96" i="1"/>
  <c r="Q95" i="1"/>
  <c r="U95" i="1"/>
  <c r="W95" i="1"/>
  <c r="Q94" i="1"/>
  <c r="U94" i="1"/>
  <c r="Q93" i="1"/>
  <c r="U93" i="1"/>
  <c r="Q92" i="1"/>
  <c r="U92" i="1"/>
  <c r="W92" i="1"/>
  <c r="Q91" i="1"/>
  <c r="U91" i="1"/>
  <c r="W91" i="1"/>
  <c r="Q90" i="1"/>
  <c r="U90" i="1"/>
  <c r="W90" i="1"/>
  <c r="Q89" i="1"/>
  <c r="U89" i="1"/>
  <c r="Q88" i="1"/>
  <c r="U88" i="1"/>
  <c r="W88" i="1"/>
  <c r="Q87" i="1"/>
  <c r="U87" i="1"/>
  <c r="W87" i="1"/>
  <c r="Q86" i="1"/>
  <c r="U86" i="1"/>
  <c r="W86" i="1"/>
  <c r="Q85" i="1"/>
  <c r="U85" i="1"/>
  <c r="Q84" i="1"/>
  <c r="U84" i="1"/>
  <c r="W84" i="1"/>
  <c r="Q83" i="1"/>
  <c r="U83" i="1"/>
  <c r="W83" i="1"/>
  <c r="Q82" i="1"/>
  <c r="U82" i="1"/>
  <c r="W82" i="1"/>
  <c r="Q81" i="1"/>
  <c r="U81" i="1"/>
  <c r="Q80" i="1"/>
  <c r="U80" i="1"/>
  <c r="W80" i="1"/>
  <c r="Q79" i="1"/>
  <c r="U79" i="1"/>
  <c r="W79" i="1"/>
  <c r="Q78" i="1"/>
  <c r="U78" i="1"/>
  <c r="W78" i="1"/>
  <c r="Q77" i="1"/>
  <c r="U77" i="1"/>
  <c r="Q76" i="1"/>
  <c r="U76" i="1"/>
  <c r="W76" i="1"/>
  <c r="Q75" i="1"/>
  <c r="U75" i="1"/>
  <c r="W75" i="1"/>
  <c r="Q74" i="1"/>
  <c r="U74" i="1"/>
  <c r="W74" i="1"/>
  <c r="Q73" i="1"/>
  <c r="U73" i="1"/>
  <c r="Q72" i="1"/>
  <c r="U72" i="1"/>
  <c r="W72" i="1"/>
  <c r="Q71" i="1"/>
  <c r="U71" i="1"/>
  <c r="W71" i="1"/>
  <c r="Q70" i="1"/>
  <c r="U70" i="1"/>
  <c r="Q69" i="1"/>
  <c r="U69" i="1"/>
  <c r="Q68" i="1"/>
  <c r="U68" i="1"/>
  <c r="W68" i="1"/>
  <c r="Q67" i="1"/>
  <c r="U67" i="1"/>
  <c r="W67" i="1"/>
  <c r="Q66" i="1"/>
  <c r="U66" i="1"/>
  <c r="W66" i="1"/>
  <c r="Q65" i="1"/>
  <c r="U65" i="1"/>
  <c r="Q64" i="1"/>
  <c r="U64" i="1"/>
  <c r="W64" i="1"/>
  <c r="Q63" i="1"/>
  <c r="U63" i="1"/>
  <c r="W63" i="1"/>
  <c r="Q62" i="1"/>
  <c r="U62" i="1"/>
  <c r="W62" i="1"/>
  <c r="Q61" i="1"/>
  <c r="U61" i="1"/>
  <c r="Q60" i="1"/>
  <c r="U60" i="1"/>
  <c r="W60" i="1"/>
  <c r="Q59" i="1"/>
  <c r="U59" i="1"/>
  <c r="W59" i="1"/>
  <c r="Q58" i="1"/>
  <c r="U58" i="1"/>
  <c r="W58" i="1"/>
  <c r="Q57" i="1"/>
  <c r="U57" i="1"/>
  <c r="Q56" i="1"/>
  <c r="U56" i="1"/>
  <c r="W56" i="1"/>
  <c r="Q55" i="1"/>
  <c r="U55" i="1"/>
  <c r="W55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B113" i="1"/>
  <c r="W70" i="1"/>
  <c r="Y98" i="1"/>
  <c r="X98" i="1"/>
  <c r="W98" i="1"/>
  <c r="Y110" i="1"/>
  <c r="X110" i="1"/>
  <c r="W110" i="1"/>
  <c r="Y106" i="1"/>
  <c r="X106" i="1"/>
  <c r="W106" i="1"/>
  <c r="Y96" i="1"/>
  <c r="X96" i="1"/>
  <c r="W96" i="1"/>
  <c r="Y94" i="1"/>
  <c r="X94" i="1"/>
  <c r="W94" i="1"/>
  <c r="Y102" i="1"/>
  <c r="X102" i="1"/>
  <c r="W102" i="1"/>
  <c r="W57" i="1"/>
  <c r="W61" i="1"/>
  <c r="W65" i="1"/>
  <c r="W69" i="1"/>
  <c r="W73" i="1"/>
  <c r="W77" i="1"/>
  <c r="W81" i="1"/>
  <c r="W85" i="1"/>
  <c r="W89" i="1"/>
  <c r="Y93" i="1"/>
  <c r="X93" i="1"/>
  <c r="W93" i="1"/>
  <c r="Y97" i="1"/>
  <c r="X97" i="1"/>
  <c r="W97" i="1"/>
  <c r="Y101" i="1"/>
  <c r="X101" i="1"/>
  <c r="W101" i="1"/>
  <c r="Y105" i="1"/>
  <c r="X105" i="1"/>
  <c r="W105" i="1"/>
  <c r="Y109" i="1"/>
  <c r="X109" i="1"/>
  <c r="W109" i="1"/>
  <c r="Y95" i="1"/>
  <c r="X95" i="1"/>
  <c r="Y99" i="1"/>
  <c r="X99" i="1"/>
  <c r="Y103" i="1"/>
  <c r="X103" i="1"/>
  <c r="Y107" i="1"/>
  <c r="X107" i="1"/>
  <c r="Y100" i="1"/>
  <c r="X100" i="1"/>
  <c r="Y104" i="1"/>
  <c r="X104" i="1"/>
  <c r="Y108" i="1"/>
  <c r="X108" i="1"/>
  <c r="Y57" i="1"/>
  <c r="X57" i="1"/>
  <c r="Y56" i="1"/>
  <c r="X56" i="1"/>
  <c r="B10" i="4"/>
  <c r="Y91" i="1"/>
  <c r="X91" i="1"/>
  <c r="Y92" i="1"/>
  <c r="X92" i="1"/>
  <c r="Y89" i="1"/>
  <c r="X89" i="1"/>
  <c r="Y88" i="1"/>
  <c r="X88" i="1"/>
  <c r="Y86" i="1"/>
  <c r="X86" i="1"/>
  <c r="Y83" i="1"/>
  <c r="X83" i="1"/>
  <c r="Y82" i="1"/>
  <c r="X82" i="1"/>
  <c r="Y71" i="1"/>
  <c r="X71" i="1"/>
  <c r="Y70" i="1"/>
  <c r="X70" i="1"/>
  <c r="Y81" i="1"/>
  <c r="X81" i="1"/>
  <c r="Y80" i="1"/>
  <c r="X80" i="1"/>
  <c r="Y79" i="1"/>
  <c r="X79" i="1"/>
  <c r="Y78" i="1"/>
  <c r="X78" i="1"/>
  <c r="Y77" i="1"/>
  <c r="X77" i="1"/>
  <c r="Y76" i="1"/>
  <c r="X76" i="1"/>
  <c r="Y75" i="1"/>
  <c r="X75" i="1"/>
  <c r="Y74" i="1"/>
  <c r="X74" i="1"/>
  <c r="Y73" i="1"/>
  <c r="X73" i="1"/>
  <c r="Y72" i="1"/>
  <c r="X72" i="1"/>
  <c r="Y69" i="1"/>
  <c r="X69" i="1"/>
  <c r="Y68" i="1"/>
  <c r="X68" i="1"/>
  <c r="Y67" i="1"/>
  <c r="X67" i="1"/>
  <c r="Y66" i="1"/>
  <c r="X66" i="1"/>
  <c r="Y65" i="1"/>
  <c r="X65" i="1"/>
  <c r="Y64" i="1"/>
  <c r="X64" i="1"/>
  <c r="Y63" i="1"/>
  <c r="X63" i="1"/>
  <c r="Y62" i="1"/>
  <c r="X62" i="1"/>
  <c r="Y61" i="1"/>
  <c r="X61" i="1"/>
  <c r="Y60" i="1"/>
  <c r="X60" i="1"/>
  <c r="Y59" i="1"/>
  <c r="X59" i="1"/>
  <c r="Y85" i="1"/>
  <c r="X85" i="1"/>
  <c r="Y90" i="1"/>
  <c r="X90" i="1"/>
  <c r="Y84" i="1"/>
  <c r="X84" i="1"/>
  <c r="Y87" i="1"/>
  <c r="X87" i="1"/>
  <c r="Y58" i="1"/>
  <c r="X58" i="1"/>
  <c r="Y55" i="1"/>
  <c r="X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Q54" i="1"/>
  <c r="U54" i="1"/>
  <c r="W54" i="1"/>
  <c r="Q53" i="1"/>
  <c r="U53" i="1"/>
  <c r="W53" i="1"/>
  <c r="Q52" i="1"/>
  <c r="U52" i="1"/>
  <c r="W52" i="1"/>
  <c r="Q51" i="1"/>
  <c r="U51" i="1"/>
  <c r="W51" i="1"/>
  <c r="Q50" i="1"/>
  <c r="U50" i="1"/>
  <c r="W50" i="1"/>
  <c r="Q49" i="1"/>
  <c r="U49" i="1"/>
  <c r="W49" i="1"/>
  <c r="Q48" i="1"/>
  <c r="U48" i="1"/>
  <c r="W48" i="1"/>
  <c r="Q47" i="1"/>
  <c r="U47" i="1"/>
  <c r="Q46" i="1"/>
  <c r="U46" i="1"/>
  <c r="W46" i="1"/>
  <c r="Q45" i="1"/>
  <c r="U45" i="1"/>
  <c r="W45" i="1"/>
  <c r="Q44" i="1"/>
  <c r="U44" i="1"/>
  <c r="Q43" i="1"/>
  <c r="U43" i="1"/>
  <c r="Q42" i="1"/>
  <c r="U42" i="1"/>
  <c r="Q41" i="1"/>
  <c r="U41" i="1"/>
  <c r="Q40" i="1"/>
  <c r="U40" i="1"/>
  <c r="Q39" i="1"/>
  <c r="U39" i="1"/>
  <c r="Q38" i="1"/>
  <c r="U38" i="1"/>
  <c r="Y38" i="1"/>
  <c r="Q37" i="1"/>
  <c r="U37" i="1"/>
  <c r="Y37" i="1"/>
  <c r="Q36" i="1"/>
  <c r="U36" i="1"/>
  <c r="Q35" i="1"/>
  <c r="U35" i="1"/>
  <c r="Q34" i="1"/>
  <c r="U34" i="1"/>
  <c r="Q33" i="1"/>
  <c r="U33" i="1"/>
  <c r="Q32" i="1"/>
  <c r="U32" i="1"/>
  <c r="Q31" i="1"/>
  <c r="U31" i="1"/>
  <c r="Q30" i="1"/>
  <c r="U30" i="1"/>
  <c r="Q29" i="1"/>
  <c r="U29" i="1"/>
  <c r="Q28" i="1"/>
  <c r="U28" i="1"/>
  <c r="Q27" i="1"/>
  <c r="U27" i="1"/>
  <c r="Q26" i="1"/>
  <c r="U26" i="1"/>
  <c r="Q25" i="1"/>
  <c r="U25" i="1"/>
  <c r="Q24" i="1"/>
  <c r="U24" i="1"/>
  <c r="Q23" i="1"/>
  <c r="U23" i="1"/>
  <c r="Q22" i="1"/>
  <c r="U22" i="1"/>
  <c r="Q21" i="1"/>
  <c r="U21" i="1"/>
  <c r="Q20" i="1"/>
  <c r="U20" i="1"/>
  <c r="Q19" i="1"/>
  <c r="U19" i="1"/>
  <c r="Q18" i="1"/>
  <c r="U18" i="1"/>
  <c r="Q17" i="1"/>
  <c r="U17" i="1"/>
  <c r="W17" i="1"/>
  <c r="Q16" i="1"/>
  <c r="U16" i="1"/>
  <c r="Q15" i="1"/>
  <c r="U15" i="1"/>
  <c r="W1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B37" i="2"/>
  <c r="W44" i="1"/>
  <c r="W43" i="1"/>
  <c r="W47" i="1"/>
  <c r="O38" i="12"/>
  <c r="O38" i="10"/>
  <c r="W16" i="1"/>
  <c r="W26" i="1"/>
  <c r="W34" i="1"/>
  <c r="W19" i="1"/>
  <c r="W23" i="1"/>
  <c r="W27" i="1"/>
  <c r="W31" i="1"/>
  <c r="W35" i="1"/>
  <c r="W39" i="1"/>
  <c r="W22" i="1"/>
  <c r="W38" i="1"/>
  <c r="W20" i="1"/>
  <c r="W24" i="1"/>
  <c r="W28" i="1"/>
  <c r="W32" i="1"/>
  <c r="W36" i="1"/>
  <c r="W40" i="1"/>
  <c r="W18" i="1"/>
  <c r="W30" i="1"/>
  <c r="W42" i="1"/>
  <c r="W21" i="1"/>
  <c r="W25" i="1"/>
  <c r="W29" i="1"/>
  <c r="W33" i="1"/>
  <c r="W37" i="1"/>
  <c r="W41" i="1"/>
  <c r="Y42" i="1"/>
  <c r="X42" i="1"/>
  <c r="K112" i="1"/>
  <c r="T111" i="1"/>
  <c r="J121" i="1"/>
  <c r="V111" i="1"/>
  <c r="J114" i="1"/>
  <c r="Y53" i="1"/>
  <c r="X53" i="1"/>
  <c r="Y50" i="1"/>
  <c r="X50" i="1"/>
  <c r="Y40" i="1"/>
  <c r="X40" i="1"/>
  <c r="Y44" i="1"/>
  <c r="X44" i="1"/>
  <c r="Y52" i="1"/>
  <c r="X52" i="1"/>
  <c r="Y41" i="1"/>
  <c r="X41" i="1"/>
  <c r="Y49" i="1"/>
  <c r="X49" i="1"/>
  <c r="Y48" i="1"/>
  <c r="Y45" i="1"/>
  <c r="X45" i="1"/>
  <c r="Y36" i="1"/>
  <c r="X36" i="1"/>
  <c r="Y47" i="1"/>
  <c r="X47" i="1"/>
  <c r="Y46" i="1"/>
  <c r="X46" i="1"/>
  <c r="Y43" i="1"/>
  <c r="Y39" i="1"/>
  <c r="X39" i="1"/>
  <c r="Y31" i="1"/>
  <c r="X31" i="1"/>
  <c r="Y51" i="1"/>
  <c r="X51" i="1"/>
  <c r="Y54" i="1"/>
  <c r="X54" i="1"/>
  <c r="Y28" i="1"/>
  <c r="X28" i="1"/>
  <c r="Y32" i="1"/>
  <c r="X32" i="1"/>
  <c r="Y35" i="1"/>
  <c r="X35" i="1"/>
  <c r="Y20" i="1"/>
  <c r="X20" i="1"/>
  <c r="Y27" i="1"/>
  <c r="X27" i="1"/>
  <c r="Y24" i="1"/>
  <c r="X24" i="1"/>
  <c r="Y16" i="1"/>
  <c r="X16" i="1"/>
  <c r="Y25" i="1"/>
  <c r="X25" i="1"/>
  <c r="Y29" i="1"/>
  <c r="X29" i="1"/>
  <c r="Y33" i="1"/>
  <c r="X33" i="1"/>
  <c r="Y30" i="1"/>
  <c r="X30" i="1"/>
  <c r="Y26" i="1"/>
  <c r="X26" i="1"/>
  <c r="Y34" i="1"/>
  <c r="X34" i="1"/>
  <c r="Y18" i="1"/>
  <c r="X18" i="1"/>
  <c r="Y22" i="1"/>
  <c r="X22" i="1"/>
  <c r="Y15" i="1"/>
  <c r="X15" i="1"/>
  <c r="Y19" i="1"/>
  <c r="X19" i="1"/>
  <c r="Y23" i="1"/>
  <c r="X23" i="1"/>
  <c r="Y17" i="1"/>
  <c r="X17" i="1"/>
  <c r="Y21" i="1"/>
  <c r="X21" i="1"/>
  <c r="X37" i="1"/>
  <c r="X38" i="1"/>
  <c r="X43" i="1"/>
  <c r="Z44" i="1"/>
  <c r="G20" i="2"/>
  <c r="C6" i="6"/>
  <c r="L121" i="1"/>
  <c r="O121" i="1"/>
  <c r="S121" i="1"/>
  <c r="W111" i="1"/>
  <c r="J118" i="1"/>
  <c r="L118" i="1"/>
  <c r="U111" i="1"/>
  <c r="J116" i="1"/>
  <c r="X48" i="1"/>
  <c r="B28" i="4"/>
  <c r="C6" i="2"/>
  <c r="B5" i="9"/>
  <c r="B9" i="9"/>
  <c r="B13" i="9"/>
  <c r="E7" i="9"/>
  <c r="Y111" i="1"/>
  <c r="B44" i="6"/>
  <c r="B68" i="6"/>
  <c r="B67" i="2"/>
  <c r="B24" i="4"/>
  <c r="B72" i="6"/>
  <c r="B42" i="4"/>
  <c r="B44" i="4"/>
  <c r="E5" i="9"/>
  <c r="B43" i="2"/>
  <c r="O111" i="1"/>
  <c r="B13" i="4"/>
  <c r="D15" i="4"/>
  <c r="B20" i="4"/>
  <c r="B18" i="4"/>
  <c r="B16" i="4"/>
  <c r="B12" i="4"/>
  <c r="B22" i="4"/>
  <c r="B14" i="4"/>
  <c r="B39" i="2"/>
  <c r="D14" i="4"/>
  <c r="D20" i="4"/>
  <c r="D18" i="4"/>
  <c r="D22" i="4"/>
  <c r="D16" i="4"/>
  <c r="B27" i="2"/>
  <c r="B58" i="2"/>
  <c r="O27" i="10"/>
  <c r="O29" i="10"/>
  <c r="O27" i="12"/>
  <c r="O29" i="12"/>
  <c r="B41" i="2"/>
  <c r="B45" i="2"/>
  <c r="X111" i="1"/>
  <c r="O32" i="10"/>
  <c r="O33" i="10"/>
  <c r="O32" i="12"/>
  <c r="O33" i="12"/>
  <c r="J123" i="1"/>
  <c r="B34" i="4"/>
  <c r="G37" i="4"/>
  <c r="B65" i="2"/>
  <c r="B69" i="2"/>
  <c r="O34" i="12"/>
  <c r="O36" i="12"/>
  <c r="O43" i="12"/>
  <c r="O40" i="12"/>
  <c r="S40" i="12"/>
  <c r="S41" i="12"/>
  <c r="S42" i="12"/>
  <c r="O40" i="10"/>
  <c r="S40" i="10"/>
  <c r="O43" i="10"/>
  <c r="B71" i="2"/>
  <c r="B36" i="4"/>
  <c r="O34" i="10"/>
  <c r="O36" i="10"/>
  <c r="B38" i="4"/>
  <c r="B46" i="4"/>
  <c r="G38" i="4"/>
  <c r="S41" i="10"/>
  <c r="S42" i="10"/>
  <c r="B75" i="2"/>
  <c r="B50" i="4"/>
  <c r="B48" i="4"/>
</calcChain>
</file>

<file path=xl/sharedStrings.xml><?xml version="1.0" encoding="utf-8"?>
<sst xmlns="http://schemas.openxmlformats.org/spreadsheetml/2006/main" count="371" uniqueCount="214">
  <si>
    <t>Total revenue</t>
  </si>
  <si>
    <t>TOTALS</t>
  </si>
  <si>
    <t>Scheme Name</t>
  </si>
  <si>
    <t>LA District</t>
  </si>
  <si>
    <t>Total Number of dwellings</t>
  </si>
  <si>
    <t>Total number of market dwellings</t>
  </si>
  <si>
    <t>Total number of affordable dwellings</t>
  </si>
  <si>
    <t>Social rented</t>
  </si>
  <si>
    <t>Affordable rented</t>
  </si>
  <si>
    <t>Shared ownership</t>
  </si>
  <si>
    <t>Equity share</t>
  </si>
  <si>
    <t>Density</t>
  </si>
  <si>
    <t>per hectare</t>
  </si>
  <si>
    <t>per acre</t>
  </si>
  <si>
    <t>Land cost</t>
  </si>
  <si>
    <t>£</t>
  </si>
  <si>
    <t>TOTAL BUILD COSTS</t>
  </si>
  <si>
    <t>TOTAL SECTION 106 COSTS</t>
  </si>
  <si>
    <t>TOTAL FEES</t>
  </si>
  <si>
    <t>TOTAL FINANCE COSTS</t>
  </si>
  <si>
    <t>TOTAL OVERHEADS AND PROFIT</t>
  </si>
  <si>
    <t>TOTAL COST OF BUILD EXCLUDING LAND</t>
  </si>
  <si>
    <t>TOTAL SCHEME COST INCLUDING LAND</t>
  </si>
  <si>
    <t>TOTAL BUILD COST EXCLUDING CONTINGENCY</t>
  </si>
  <si>
    <t>SCHEME SUMMARY</t>
  </si>
  <si>
    <t>Length of financial exposure</t>
  </si>
  <si>
    <t>private sale</t>
  </si>
  <si>
    <t>social rent</t>
  </si>
  <si>
    <t>aff rent</t>
  </si>
  <si>
    <t>shared ownership</t>
  </si>
  <si>
    <t>AFFORDABLE HOUSING OFFER FROM RP</t>
  </si>
  <si>
    <t>Total cost</t>
  </si>
  <si>
    <t>quasi s/o @ 80%</t>
  </si>
  <si>
    <t>years</t>
  </si>
  <si>
    <t xml:space="preserve">This appraisal model is property of Housing Expectations Ltd. Unauthorised use / copying of this model will be subject to </t>
  </si>
  <si>
    <t>Dwelling m2</t>
  </si>
  <si>
    <t>£ per m2 selling price</t>
  </si>
  <si>
    <t>Total Sect 106 contributions</t>
  </si>
  <si>
    <t>Residual value against EUV</t>
  </si>
  <si>
    <t>No. of beds</t>
  </si>
  <si>
    <t>per m2 / ft2</t>
  </si>
  <si>
    <t>£ per m2/ft2</t>
  </si>
  <si>
    <t>(total figure or broken down) if no figure then included in base build cost</t>
  </si>
  <si>
    <t>Contingency as % of build cost</t>
  </si>
  <si>
    <r>
      <rPr>
        <b/>
        <sz val="12"/>
        <color theme="1"/>
        <rFont val="Calibri"/>
        <family val="2"/>
        <scheme val="minor"/>
      </rPr>
      <t>Professional fees</t>
    </r>
    <r>
      <rPr>
        <sz val="11"/>
        <color theme="1"/>
        <rFont val="Calibri"/>
        <family val="2"/>
        <scheme val="minor"/>
      </rPr>
      <t xml:space="preserve"> @ </t>
    </r>
    <r>
      <rPr>
        <strike/>
        <sz val="11"/>
        <color theme="1"/>
        <rFont val="Calibri"/>
        <family val="2"/>
        <scheme val="minor"/>
      </rPr>
      <t>%</t>
    </r>
    <r>
      <rPr>
        <sz val="11"/>
        <color theme="1"/>
        <rFont val="Calibri"/>
        <family val="2"/>
        <scheme val="minor"/>
      </rPr>
      <t xml:space="preserve"> of build cost</t>
    </r>
  </si>
  <si>
    <r>
      <rPr>
        <b/>
        <sz val="12"/>
        <color theme="1"/>
        <rFont val="Calibri"/>
        <family val="2"/>
        <scheme val="minor"/>
      </rPr>
      <t>Marketing costs</t>
    </r>
    <r>
      <rPr>
        <sz val="11"/>
        <color theme="1"/>
        <rFont val="Calibri"/>
        <family val="2"/>
        <scheme val="minor"/>
      </rPr>
      <t xml:space="preserve"> @ % of market revenue</t>
    </r>
  </si>
  <si>
    <t xml:space="preserve">Land acquisition fees ie stamp duty, legals </t>
  </si>
  <si>
    <r>
      <rPr>
        <b/>
        <sz val="12"/>
        <color theme="1"/>
        <rFont val="Calibri"/>
        <family val="2"/>
        <scheme val="minor"/>
      </rPr>
      <t xml:space="preserve">Finance costs of build </t>
    </r>
    <r>
      <rPr>
        <sz val="11"/>
        <color theme="1"/>
        <rFont val="Calibri"/>
        <family val="2"/>
        <scheme val="minor"/>
      </rPr>
      <t xml:space="preserve"> </t>
    </r>
  </si>
  <si>
    <t>(build cost x interest rate x build programme / 2</t>
  </si>
  <si>
    <r>
      <rPr>
        <b/>
        <sz val="12"/>
        <color theme="1"/>
        <rFont val="Calibri"/>
        <family val="2"/>
        <scheme val="minor"/>
      </rPr>
      <t>Finance costs of land</t>
    </r>
    <r>
      <rPr>
        <sz val="11"/>
        <color theme="1"/>
        <rFont val="Calibri"/>
        <family val="2"/>
        <scheme val="minor"/>
      </rPr>
      <t xml:space="preserve"> </t>
    </r>
  </si>
  <si>
    <t xml:space="preserve">Interest on sect 106 payments </t>
  </si>
  <si>
    <t>Existing Use Value</t>
  </si>
  <si>
    <t>Total build cost</t>
  </si>
  <si>
    <t>TOTAL HOUSING REVENUE</t>
  </si>
  <si>
    <t>Shared ownership unit selling price</t>
  </si>
  <si>
    <t>Rented unit selling price</t>
  </si>
  <si>
    <t>Market Value / private unit selling price</t>
  </si>
  <si>
    <t>Total RP offer price</t>
  </si>
  <si>
    <t>Total Quasi s/e offer</t>
  </si>
  <si>
    <t>TOTAL AFFORDABLE HOUSING REVENUE</t>
  </si>
  <si>
    <t>PRIVATE HOUSING REVENUE</t>
  </si>
  <si>
    <t>(land purchase price &amp; fees x interest rate x financial exposure / 2</t>
  </si>
  <si>
    <t>(total sect 106 payments x interest rate x build programme / 3</t>
  </si>
  <si>
    <t>Total Private value</t>
  </si>
  <si>
    <t>£ per m2 / ft2</t>
  </si>
  <si>
    <t>Total Residential Expenditure</t>
  </si>
  <si>
    <t>Total Residential Residual Value</t>
  </si>
  <si>
    <t>Total Commercial Residual Value</t>
  </si>
  <si>
    <t>Total Scheme Residual Value</t>
  </si>
  <si>
    <t>Total Residential Income</t>
  </si>
  <si>
    <t>a £10,000 plus VAT charge</t>
  </si>
  <si>
    <t>Residual value against BV</t>
  </si>
  <si>
    <t>HOUSING EXPECTATIONS APPRAISAL MODEL</t>
  </si>
  <si>
    <t xml:space="preserve">Abnormals / External Works </t>
  </si>
  <si>
    <t>£ per m2 / ft2 rate used - residential</t>
  </si>
  <si>
    <t>Residential Dwelling type</t>
  </si>
  <si>
    <t>circulation space m2 / ft2</t>
  </si>
  <si>
    <t>commercial / other m2 / ft2</t>
  </si>
  <si>
    <t>Total private m2/ft2</t>
  </si>
  <si>
    <t>Total affordable m2 / ft2</t>
  </si>
  <si>
    <t>Total private NIA</t>
  </si>
  <si>
    <t>Total affordable NIA</t>
  </si>
  <si>
    <t>Total affordable value</t>
  </si>
  <si>
    <t>Total base build</t>
  </si>
  <si>
    <t>Benchmark Value (EUV+20%)</t>
  </si>
  <si>
    <t>£ per m2 / ft2 rate used - comercial / other</t>
  </si>
  <si>
    <t>Hab rooms</t>
  </si>
  <si>
    <t>Total hab rooms</t>
  </si>
  <si>
    <t>Total Number of Hab Rooms</t>
  </si>
  <si>
    <t>Total number of affordable hab rooms</t>
  </si>
  <si>
    <t>Total Affordable Hab Rooms</t>
  </si>
  <si>
    <t>Totals</t>
  </si>
  <si>
    <t xml:space="preserve">BCIS median </t>
  </si>
  <si>
    <t>Site Size</t>
  </si>
  <si>
    <t>Total Commercial Income</t>
  </si>
  <si>
    <t>Total Commercial Expenditure</t>
  </si>
  <si>
    <t>Ground Rents</t>
  </si>
  <si>
    <t>Total number of flats</t>
  </si>
  <si>
    <t>Rent per annum per unit</t>
  </si>
  <si>
    <t>Yield</t>
  </si>
  <si>
    <t>Capitalised value of ground rents</t>
  </si>
  <si>
    <t>Total Scheme Ground Rent</t>
  </si>
  <si>
    <t>Financial Summary</t>
  </si>
  <si>
    <t>AFFORDABLE HOUSING VALUE RE SHARED EQUITY / DMS</t>
  </si>
  <si>
    <t>Shared equity unit selling price</t>
  </si>
  <si>
    <t>Total Scheme GIA</t>
  </si>
  <si>
    <t>Residential GIA</t>
  </si>
  <si>
    <t>Commercial GIA</t>
  </si>
  <si>
    <t xml:space="preserve">Base Build Cost </t>
  </si>
  <si>
    <t>Total cost of abnormals</t>
  </si>
  <si>
    <t>Total cost of abnormals &amp; external works</t>
  </si>
  <si>
    <t>Section 106 / CIL costs</t>
  </si>
  <si>
    <t>Benchmark Land Value</t>
  </si>
  <si>
    <t>Time between build complete &amp; last sale</t>
  </si>
  <si>
    <t>Pre construction works</t>
  </si>
  <si>
    <t>months</t>
  </si>
  <si>
    <t>Construction</t>
  </si>
  <si>
    <t>Development Programme</t>
  </si>
  <si>
    <t>Private sales</t>
  </si>
  <si>
    <t>Affordable housing sales</t>
  </si>
  <si>
    <t>OVERHEADS &amp; PROFIT</t>
  </si>
  <si>
    <t>RESIDENTIAL SCHEME COSTS</t>
  </si>
  <si>
    <t>RESIDENTIAL SCHEME REVENUE</t>
  </si>
  <si>
    <t>COMMERCIAL REVENUE</t>
  </si>
  <si>
    <t xml:space="preserve">Unit </t>
  </si>
  <si>
    <t>£ pfs rate</t>
  </si>
  <si>
    <t>Capitalised Value</t>
  </si>
  <si>
    <t>Initial MRV</t>
  </si>
  <si>
    <t>TOTAL COMMERCIAL VALUE</t>
  </si>
  <si>
    <t>COMMERCIAL SCHEME COSTS</t>
  </si>
  <si>
    <t>Commercial</t>
  </si>
  <si>
    <t>Land Purchase Price</t>
  </si>
  <si>
    <t>residential</t>
  </si>
  <si>
    <t>commercial</t>
  </si>
  <si>
    <t>m/ft2</t>
  </si>
  <si>
    <t>Land per m2</t>
  </si>
  <si>
    <t>Total GIA</t>
  </si>
  <si>
    <t>Land apportionment</t>
  </si>
  <si>
    <t>Size ft2</t>
  </si>
  <si>
    <t>Size m2</t>
  </si>
  <si>
    <t xml:space="preserve">Discounted cash flow </t>
  </si>
  <si>
    <t>Month</t>
  </si>
  <si>
    <t>Build cost</t>
  </si>
  <si>
    <t>sect 106</t>
  </si>
  <si>
    <t>fees</t>
  </si>
  <si>
    <t>land cost</t>
  </si>
  <si>
    <t>profit</t>
  </si>
  <si>
    <t>Net cost</t>
  </si>
  <si>
    <t>Cum cost</t>
  </si>
  <si>
    <t>Interest</t>
  </si>
  <si>
    <t>Construction programme</t>
  </si>
  <si>
    <t>Monthly build cost</t>
  </si>
  <si>
    <t>Total fees</t>
  </si>
  <si>
    <t>Total Profit</t>
  </si>
  <si>
    <t>Monthly profit</t>
  </si>
  <si>
    <t>Total programme</t>
  </si>
  <si>
    <t>Total sect 106</t>
  </si>
  <si>
    <t>Monthly fee</t>
  </si>
  <si>
    <t>Residential revenue</t>
  </si>
  <si>
    <t>Commercial revenue</t>
  </si>
  <si>
    <t>commercial revenue</t>
  </si>
  <si>
    <t>Total Revenue</t>
  </si>
  <si>
    <t>Ave unit revenue</t>
  </si>
  <si>
    <t>DCF Totals</t>
  </si>
  <si>
    <t>fee</t>
  </si>
  <si>
    <t>land</t>
  </si>
  <si>
    <t>Resdiential revenue</t>
  </si>
  <si>
    <t>comerical revenue</t>
  </si>
  <si>
    <t>Total finance costs</t>
  </si>
  <si>
    <t>10% deposit</t>
  </si>
  <si>
    <t>90% balance</t>
  </si>
  <si>
    <t>residential sales</t>
  </si>
  <si>
    <t>commercial sales</t>
  </si>
  <si>
    <t>INDICATIVE FINANCE COSTS</t>
  </si>
  <si>
    <t>DISCOUNTED CASH FLOW - TOTAL FINANCE COSTS</t>
  </si>
  <si>
    <t>External works @ 15% of base build cost</t>
  </si>
  <si>
    <t>Car parking spaces</t>
  </si>
  <si>
    <t>Total number of spaces</t>
  </si>
  <si>
    <t>Sales price per space</t>
  </si>
  <si>
    <t>Total Sales revenue</t>
  </si>
  <si>
    <t>Building A</t>
  </si>
  <si>
    <t>studio</t>
  </si>
  <si>
    <t>1bf</t>
  </si>
  <si>
    <t>2bf</t>
  </si>
  <si>
    <t>3bf</t>
  </si>
  <si>
    <t>Building B</t>
  </si>
  <si>
    <t>circulation</t>
  </si>
  <si>
    <t>Building D</t>
  </si>
  <si>
    <t>Building E</t>
  </si>
  <si>
    <t>Building F</t>
  </si>
  <si>
    <t>Building G</t>
  </si>
  <si>
    <t>Building H</t>
  </si>
  <si>
    <t>townhouses</t>
  </si>
  <si>
    <t>community &amp; health</t>
  </si>
  <si>
    <t>Policy 30% 50/50 tenure split including social rent</t>
  </si>
  <si>
    <t xml:space="preserve">units </t>
  </si>
  <si>
    <t>(build cost x interest rate x build programme / 3</t>
  </si>
  <si>
    <t>Reading Metropolitan</t>
  </si>
  <si>
    <t>Reading</t>
  </si>
  <si>
    <t>Rent free adj</t>
  </si>
  <si>
    <t>Non adjusted CV</t>
  </si>
  <si>
    <t>Total Scheme GDV</t>
  </si>
  <si>
    <t>Total Scheme Costs</t>
  </si>
  <si>
    <t>circulation / non chargeable space</t>
  </si>
  <si>
    <t>retail - block A &amp; B</t>
  </si>
  <si>
    <t>office - block C</t>
  </si>
  <si>
    <t>retail - block E &amp; F</t>
  </si>
  <si>
    <t>Office - block J</t>
  </si>
  <si>
    <t>Car park GIA</t>
  </si>
  <si>
    <t>m2</t>
  </si>
  <si>
    <t>Car Park GIA</t>
  </si>
  <si>
    <t xml:space="preserve">Legal fees @ % of rent per annum </t>
  </si>
  <si>
    <t>letting fee @ % of rent per annum</t>
  </si>
  <si>
    <r>
      <rPr>
        <b/>
        <sz val="12"/>
        <color theme="1"/>
        <rFont val="Calibri"/>
        <family val="2"/>
        <scheme val="minor"/>
      </rPr>
      <t>commercial sales agent fees</t>
    </r>
    <r>
      <rPr>
        <sz val="11"/>
        <color theme="1"/>
        <rFont val="Calibri"/>
        <family val="2"/>
        <scheme val="minor"/>
      </rPr>
      <t xml:space="preserve"> @ </t>
    </r>
    <r>
      <rPr>
        <strike/>
        <sz val="11"/>
        <color theme="1"/>
        <rFont val="Calibri"/>
        <family val="2"/>
        <scheme val="minor"/>
      </rPr>
      <t>%</t>
    </r>
    <r>
      <rPr>
        <sz val="11"/>
        <color theme="1"/>
        <rFont val="Calibri"/>
        <family val="2"/>
        <scheme val="minor"/>
      </rPr>
      <t xml:space="preserve"> of build cost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</si>
</sst>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0.0%"/>
    <numFmt numFmtId="165" formatCode="&quot;£&quot;#,##0.00"/>
    <numFmt numFmtId="166" formatCode="&quot;£&quot;#,##0"/>
    <numFmt numFmtId="167" formatCode="&quot;£&quot;#,##0;[Red]&quot;£&quot;#,##0"/>
    <numFmt numFmtId="168" formatCode="&quot;£&quot;#,##0.00;[Red]&quot;£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Aharoni"/>
      <charset val="177"/>
    </font>
    <font>
      <b/>
      <sz val="18"/>
      <color theme="1"/>
      <name val="Aharoni"/>
      <charset val="177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1" xfId="0" applyFont="1" applyBorder="1"/>
    <xf numFmtId="0" fontId="4" fillId="0" borderId="0" xfId="0" applyFont="1" applyAlignment="1">
      <alignment horizontal="center"/>
    </xf>
    <xf numFmtId="8" fontId="0" fillId="0" borderId="0" xfId="0" applyNumberFormat="1"/>
    <xf numFmtId="0" fontId="6" fillId="2" borderId="0" xfId="0" applyFont="1" applyFill="1"/>
    <xf numFmtId="0" fontId="0" fillId="2" borderId="0" xfId="0" applyFill="1"/>
    <xf numFmtId="0" fontId="0" fillId="3" borderId="0" xfId="0" applyFill="1"/>
    <xf numFmtId="0" fontId="5" fillId="4" borderId="0" xfId="0" applyFont="1" applyFill="1"/>
    <xf numFmtId="0" fontId="0" fillId="4" borderId="0" xfId="0" applyFill="1"/>
    <xf numFmtId="0" fontId="2" fillId="5" borderId="0" xfId="0" applyFont="1" applyFill="1"/>
    <xf numFmtId="0" fontId="0" fillId="5" borderId="0" xfId="0" applyFill="1"/>
    <xf numFmtId="0" fontId="4" fillId="5" borderId="0" xfId="0" applyFont="1" applyFill="1"/>
    <xf numFmtId="0" fontId="1" fillId="5" borderId="0" xfId="0" applyFont="1" applyFill="1"/>
    <xf numFmtId="0" fontId="3" fillId="5" borderId="0" xfId="0" applyFont="1" applyFill="1"/>
    <xf numFmtId="6" fontId="0" fillId="0" borderId="0" xfId="0" applyNumberFormat="1"/>
    <xf numFmtId="17" fontId="0" fillId="0" borderId="0" xfId="0" applyNumberFormat="1"/>
    <xf numFmtId="0" fontId="1" fillId="0" borderId="0" xfId="0" applyFont="1"/>
    <xf numFmtId="0" fontId="7" fillId="3" borderId="0" xfId="0" applyFont="1" applyFill="1"/>
    <xf numFmtId="3" fontId="0" fillId="0" borderId="0" xfId="0" applyNumberFormat="1"/>
    <xf numFmtId="0" fontId="1" fillId="6" borderId="0" xfId="0" applyFont="1" applyFill="1"/>
    <xf numFmtId="0" fontId="0" fillId="0" borderId="0" xfId="0" applyFill="1"/>
    <xf numFmtId="6" fontId="0" fillId="0" borderId="0" xfId="0" applyNumberFormat="1" applyFill="1"/>
    <xf numFmtId="0" fontId="0" fillId="0" borderId="1" xfId="0" applyFill="1" applyBorder="1"/>
    <xf numFmtId="6" fontId="0" fillId="0" borderId="1" xfId="0" applyNumberFormat="1" applyFill="1" applyBorder="1"/>
    <xf numFmtId="0" fontId="1" fillId="0" borderId="1" xfId="0" applyFont="1" applyFill="1" applyBorder="1"/>
    <xf numFmtId="6" fontId="1" fillId="0" borderId="1" xfId="0" applyNumberFormat="1" applyFont="1" applyFill="1" applyBorder="1"/>
    <xf numFmtId="8" fontId="0" fillId="0" borderId="0" xfId="0" applyNumberFormat="1" applyFill="1"/>
    <xf numFmtId="0" fontId="2" fillId="5" borderId="1" xfId="0" applyFont="1" applyFill="1" applyBorder="1" applyAlignment="1">
      <alignment textRotation="45"/>
    </xf>
    <xf numFmtId="8" fontId="1" fillId="0" borderId="1" xfId="0" applyNumberFormat="1" applyFont="1" applyFill="1" applyBorder="1"/>
    <xf numFmtId="0" fontId="0" fillId="0" borderId="0" xfId="0" applyFill="1" applyProtection="1"/>
    <xf numFmtId="0" fontId="10" fillId="5" borderId="0" xfId="0" applyFont="1" applyFill="1"/>
    <xf numFmtId="0" fontId="1" fillId="6" borderId="0" xfId="0" applyFont="1" applyFill="1" applyProtection="1">
      <protection locked="0"/>
    </xf>
    <xf numFmtId="0" fontId="0" fillId="6" borderId="0" xfId="0" applyFill="1" applyProtection="1">
      <protection locked="0"/>
    </xf>
    <xf numFmtId="0" fontId="0" fillId="6" borderId="1" xfId="0" applyFill="1" applyBorder="1" applyProtection="1">
      <protection locked="0"/>
    </xf>
    <xf numFmtId="9" fontId="0" fillId="6" borderId="0" xfId="0" applyNumberFormat="1" applyFill="1" applyProtection="1">
      <protection locked="0"/>
    </xf>
    <xf numFmtId="9" fontId="0" fillId="0" borderId="0" xfId="0" applyNumberFormat="1" applyFill="1" applyProtection="1">
      <protection locked="0"/>
    </xf>
    <xf numFmtId="0" fontId="0" fillId="6" borderId="0" xfId="0" applyFill="1"/>
    <xf numFmtId="165" fontId="0" fillId="0" borderId="1" xfId="0" applyNumberFormat="1" applyFill="1" applyBorder="1"/>
    <xf numFmtId="165" fontId="0" fillId="6" borderId="1" xfId="0" applyNumberFormat="1" applyFill="1" applyBorder="1" applyProtection="1">
      <protection locked="0"/>
    </xf>
    <xf numFmtId="0" fontId="0" fillId="0" borderId="0" xfId="0" applyFill="1" applyProtection="1">
      <protection locked="0"/>
    </xf>
    <xf numFmtId="10" fontId="0" fillId="0" borderId="0" xfId="0" applyNumberFormat="1"/>
    <xf numFmtId="10" fontId="1" fillId="0" borderId="0" xfId="0" applyNumberFormat="1" applyFont="1"/>
    <xf numFmtId="0" fontId="4" fillId="0" borderId="0" xfId="0" applyFont="1"/>
    <xf numFmtId="166" fontId="4" fillId="0" borderId="0" xfId="0" applyNumberFormat="1" applyFont="1"/>
    <xf numFmtId="0" fontId="3" fillId="0" borderId="0" xfId="0" applyFont="1" applyFill="1"/>
    <xf numFmtId="166" fontId="2" fillId="0" borderId="0" xfId="0" applyNumberFormat="1" applyFont="1"/>
    <xf numFmtId="17" fontId="0" fillId="0" borderId="0" xfId="0" applyNumberFormat="1" applyFill="1" applyProtection="1">
      <protection locked="0"/>
    </xf>
    <xf numFmtId="0" fontId="12" fillId="5" borderId="0" xfId="0" applyFont="1" applyFill="1"/>
    <xf numFmtId="164" fontId="0" fillId="0" borderId="0" xfId="0" applyNumberFormat="1" applyFill="1" applyProtection="1">
      <protection locked="0"/>
    </xf>
    <xf numFmtId="0" fontId="5" fillId="0" borderId="0" xfId="0" applyFont="1" applyFill="1"/>
    <xf numFmtId="0" fontId="2" fillId="0" borderId="0" xfId="0" applyFont="1" applyFill="1"/>
    <xf numFmtId="0" fontId="8" fillId="0" borderId="0" xfId="0" applyFont="1" applyFill="1" applyAlignment="1">
      <alignment horizontal="center"/>
    </xf>
    <xf numFmtId="165" fontId="0" fillId="0" borderId="0" xfId="0" applyNumberFormat="1" applyFill="1"/>
    <xf numFmtId="165" fontId="0" fillId="0" borderId="0" xfId="0" applyNumberFormat="1" applyFill="1" applyProtection="1">
      <protection locked="0"/>
    </xf>
    <xf numFmtId="3" fontId="0" fillId="0" borderId="0" xfId="0" applyNumberFormat="1" applyFill="1"/>
    <xf numFmtId="1" fontId="0" fillId="0" borderId="0" xfId="0" applyNumberFormat="1" applyFill="1"/>
    <xf numFmtId="166" fontId="0" fillId="0" borderId="0" xfId="0" applyNumberFormat="1" applyFill="1"/>
    <xf numFmtId="0" fontId="1" fillId="0" borderId="0" xfId="0" applyFont="1" applyFill="1" applyProtection="1">
      <protection locked="0"/>
    </xf>
    <xf numFmtId="0" fontId="11" fillId="5" borderId="2" xfId="0" applyFont="1" applyFill="1" applyBorder="1"/>
    <xf numFmtId="0" fontId="11" fillId="5" borderId="3" xfId="0" applyFont="1" applyFill="1" applyBorder="1"/>
    <xf numFmtId="0" fontId="11" fillId="5" borderId="4" xfId="0" applyFont="1" applyFill="1" applyBorder="1"/>
    <xf numFmtId="0" fontId="2" fillId="0" borderId="0" xfId="0" applyFont="1"/>
    <xf numFmtId="0" fontId="2" fillId="0" borderId="7" xfId="0" applyFont="1" applyFill="1" applyBorder="1"/>
    <xf numFmtId="0" fontId="11" fillId="5" borderId="10" xfId="0" applyFont="1" applyFill="1" applyBorder="1"/>
    <xf numFmtId="0" fontId="2" fillId="0" borderId="12" xfId="0" applyFont="1" applyFill="1" applyBorder="1"/>
    <xf numFmtId="8" fontId="12" fillId="6" borderId="0" xfId="0" applyNumberFormat="1" applyFont="1" applyFill="1" applyProtection="1">
      <protection locked="0"/>
    </xf>
    <xf numFmtId="8" fontId="12" fillId="0" borderId="0" xfId="0" applyNumberFormat="1" applyFont="1"/>
    <xf numFmtId="0" fontId="12" fillId="0" borderId="0" xfId="0" applyFont="1"/>
    <xf numFmtId="3" fontId="12" fillId="0" borderId="0" xfId="0" applyNumberFormat="1" applyFont="1"/>
    <xf numFmtId="8" fontId="12" fillId="0" borderId="0" xfId="0" applyNumberFormat="1" applyFont="1" applyFill="1"/>
    <xf numFmtId="0" fontId="12" fillId="6" borderId="0" xfId="0" applyFont="1" applyFill="1"/>
    <xf numFmtId="165" fontId="12" fillId="0" borderId="0" xfId="0" applyNumberFormat="1" applyFont="1"/>
    <xf numFmtId="0" fontId="12" fillId="6" borderId="0" xfId="0" applyFont="1" applyFill="1" applyProtection="1">
      <protection locked="0"/>
    </xf>
    <xf numFmtId="8" fontId="2" fillId="0" borderId="0" xfId="0" applyNumberFormat="1" applyFont="1" applyFill="1"/>
    <xf numFmtId="8" fontId="12" fillId="6" borderId="0" xfId="0" applyNumberFormat="1" applyFont="1" applyFill="1"/>
    <xf numFmtId="0" fontId="12" fillId="0" borderId="0" xfId="0" applyFont="1" applyFill="1" applyProtection="1">
      <protection locked="0"/>
    </xf>
    <xf numFmtId="0" fontId="12" fillId="0" borderId="0" xfId="0" applyFont="1" applyFill="1"/>
    <xf numFmtId="9" fontId="12" fillId="6" borderId="0" xfId="0" applyNumberFormat="1" applyFont="1" applyFill="1" applyProtection="1">
      <protection locked="0"/>
    </xf>
    <xf numFmtId="0" fontId="12" fillId="0" borderId="0" xfId="0" applyFont="1" applyProtection="1">
      <protection locked="0"/>
    </xf>
    <xf numFmtId="164" fontId="12" fillId="6" borderId="0" xfId="0" applyNumberFormat="1" applyFont="1" applyFill="1" applyProtection="1">
      <protection locked="0"/>
    </xf>
    <xf numFmtId="10" fontId="12" fillId="6" borderId="0" xfId="0" applyNumberFormat="1" applyFont="1" applyFill="1" applyProtection="1">
      <protection locked="0"/>
    </xf>
    <xf numFmtId="0" fontId="3" fillId="0" borderId="0" xfId="0" applyFont="1"/>
    <xf numFmtId="10" fontId="12" fillId="0" borderId="0" xfId="0" applyNumberFormat="1" applyFont="1" applyProtection="1">
      <protection locked="0"/>
    </xf>
    <xf numFmtId="0" fontId="12" fillId="6" borderId="0" xfId="0" applyNumberFormat="1" applyFont="1" applyFill="1" applyProtection="1">
      <protection locked="0"/>
    </xf>
    <xf numFmtId="164" fontId="12" fillId="0" borderId="0" xfId="0" applyNumberFormat="1" applyFont="1" applyFill="1" applyProtection="1">
      <protection locked="0"/>
    </xf>
    <xf numFmtId="9" fontId="12" fillId="0" borderId="0" xfId="0" applyNumberFormat="1" applyFont="1"/>
    <xf numFmtId="165" fontId="12" fillId="0" borderId="0" xfId="0" applyNumberFormat="1" applyFont="1" applyFill="1" applyProtection="1"/>
    <xf numFmtId="0" fontId="2" fillId="0" borderId="8" xfId="0" applyFont="1" applyFill="1" applyBorder="1"/>
    <xf numFmtId="3" fontId="12" fillId="0" borderId="0" xfId="0" applyNumberFormat="1" applyFont="1" applyFill="1" applyProtection="1"/>
    <xf numFmtId="3" fontId="12" fillId="6" borderId="0" xfId="0" applyNumberFormat="1" applyFont="1" applyFill="1" applyProtection="1">
      <protection locked="0"/>
    </xf>
    <xf numFmtId="0" fontId="13" fillId="0" borderId="0" xfId="0" applyFont="1"/>
    <xf numFmtId="0" fontId="0" fillId="0" borderId="0" xfId="0" applyProtection="1"/>
    <xf numFmtId="0" fontId="3" fillId="0" borderId="0" xfId="0" applyFont="1" applyFill="1" applyProtection="1"/>
    <xf numFmtId="0" fontId="1" fillId="0" borderId="0" xfId="0" applyFont="1" applyProtection="1"/>
    <xf numFmtId="6" fontId="1" fillId="0" borderId="0" xfId="0" applyNumberFormat="1" applyFont="1" applyFill="1" applyProtection="1"/>
    <xf numFmtId="6" fontId="0" fillId="0" borderId="0" xfId="0" applyNumberFormat="1" applyFill="1" applyProtection="1"/>
    <xf numFmtId="6" fontId="2" fillId="0" borderId="0" xfId="0" applyNumberFormat="1" applyFont="1" applyFill="1" applyProtection="1"/>
    <xf numFmtId="0" fontId="11" fillId="0" borderId="0" xfId="0" applyFont="1" applyProtection="1"/>
    <xf numFmtId="166" fontId="2" fillId="0" borderId="0" xfId="0" applyNumberFormat="1" applyFont="1" applyProtection="1"/>
    <xf numFmtId="6" fontId="0" fillId="3" borderId="0" xfId="0" applyNumberFormat="1" applyFill="1" applyProtection="1"/>
    <xf numFmtId="6" fontId="0" fillId="0" borderId="0" xfId="0" applyNumberFormat="1" applyProtection="1"/>
    <xf numFmtId="0" fontId="6" fillId="2" borderId="0" xfId="0" applyFont="1" applyFill="1" applyProtection="1"/>
    <xf numFmtId="0" fontId="0" fillId="2" borderId="0" xfId="0" applyFill="1" applyProtection="1"/>
    <xf numFmtId="0" fontId="5" fillId="4" borderId="0" xfId="0" applyFont="1" applyFill="1" applyProtection="1"/>
    <xf numFmtId="0" fontId="1" fillId="6" borderId="0" xfId="0" applyFont="1" applyFill="1" applyProtection="1"/>
    <xf numFmtId="0" fontId="2" fillId="5" borderId="1" xfId="0" applyFont="1" applyFill="1" applyBorder="1" applyAlignment="1" applyProtection="1">
      <alignment textRotation="45"/>
    </xf>
    <xf numFmtId="0" fontId="0" fillId="0" borderId="1" xfId="0" applyFill="1" applyBorder="1" applyProtection="1"/>
    <xf numFmtId="0" fontId="1" fillId="0" borderId="1" xfId="0" applyFont="1" applyFill="1" applyBorder="1" applyProtection="1"/>
    <xf numFmtId="0" fontId="2" fillId="0" borderId="0" xfId="0" applyFont="1" applyAlignment="1" applyProtection="1">
      <alignment horizontal="center"/>
    </xf>
    <xf numFmtId="0" fontId="2" fillId="5" borderId="0" xfId="0" applyFont="1" applyFill="1" applyProtection="1"/>
    <xf numFmtId="0" fontId="0" fillId="5" borderId="0" xfId="0" applyFill="1" applyProtection="1"/>
    <xf numFmtId="0" fontId="0" fillId="0" borderId="0" xfId="0" applyNumberFormat="1" applyProtection="1"/>
    <xf numFmtId="8" fontId="0" fillId="0" borderId="0" xfId="0" applyNumberFormat="1" applyProtection="1"/>
    <xf numFmtId="6" fontId="4" fillId="0" borderId="0" xfId="0" applyNumberFormat="1" applyFont="1" applyProtection="1"/>
    <xf numFmtId="0" fontId="3" fillId="5" borderId="0" xfId="0" applyFont="1" applyFill="1" applyProtection="1"/>
    <xf numFmtId="0" fontId="4" fillId="0" borderId="0" xfId="0" applyFont="1" applyProtection="1"/>
    <xf numFmtId="166" fontId="12" fillId="2" borderId="0" xfId="0" applyNumberFormat="1" applyFont="1" applyFill="1" applyProtection="1">
      <protection locked="0"/>
    </xf>
    <xf numFmtId="8" fontId="1" fillId="0" borderId="0" xfId="0" applyNumberFormat="1" applyFont="1" applyProtection="1"/>
    <xf numFmtId="6" fontId="1" fillId="0" borderId="0" xfId="0" applyNumberFormat="1" applyFont="1" applyProtection="1"/>
    <xf numFmtId="6" fontId="0" fillId="0" borderId="0" xfId="0" applyNumberFormat="1" applyProtection="1">
      <protection locked="0"/>
    </xf>
    <xf numFmtId="168" fontId="2" fillId="0" borderId="0" xfId="0" applyNumberFormat="1" applyFont="1" applyFill="1"/>
    <xf numFmtId="0" fontId="12" fillId="0" borderId="0" xfId="0" applyFont="1" applyFill="1" applyProtection="1"/>
    <xf numFmtId="8" fontId="12" fillId="0" borderId="0" xfId="0" applyNumberFormat="1" applyFont="1" applyFill="1" applyProtection="1"/>
    <xf numFmtId="8" fontId="2" fillId="0" borderId="0" xfId="0" applyNumberFormat="1" applyFont="1" applyFill="1" applyProtection="1"/>
    <xf numFmtId="167" fontId="2" fillId="0" borderId="0" xfId="0" applyNumberFormat="1" applyFont="1" applyFill="1" applyProtection="1"/>
    <xf numFmtId="0" fontId="12" fillId="0" borderId="0" xfId="0" applyFont="1" applyProtection="1"/>
    <xf numFmtId="166" fontId="12" fillId="0" borderId="6" xfId="0" applyNumberFormat="1" applyFont="1" applyBorder="1" applyProtection="1"/>
    <xf numFmtId="166" fontId="2" fillId="0" borderId="9" xfId="0" applyNumberFormat="1" applyFont="1" applyFill="1" applyBorder="1" applyProtection="1"/>
    <xf numFmtId="0" fontId="12" fillId="6" borderId="5" xfId="0" applyFont="1" applyFill="1" applyBorder="1" applyProtection="1">
      <protection locked="0"/>
    </xf>
    <xf numFmtId="0" fontId="12" fillId="6" borderId="11" xfId="0" applyFont="1" applyFill="1" applyBorder="1" applyProtection="1">
      <protection locked="0"/>
    </xf>
    <xf numFmtId="0" fontId="12" fillId="6" borderId="1" xfId="0" applyFont="1" applyFill="1" applyBorder="1" applyProtection="1">
      <protection locked="0"/>
    </xf>
    <xf numFmtId="0" fontId="2" fillId="6" borderId="5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8" fontId="12" fillId="0" borderId="0" xfId="0" applyNumberFormat="1" applyFont="1" applyProtection="1">
      <protection locked="0"/>
    </xf>
    <xf numFmtId="8" fontId="12" fillId="0" borderId="0" xfId="0" applyNumberFormat="1" applyFont="1" applyFill="1" applyProtection="1">
      <protection locked="0"/>
    </xf>
    <xf numFmtId="0" fontId="0" fillId="0" borderId="0" xfId="0" applyProtection="1">
      <protection locked="0"/>
    </xf>
    <xf numFmtId="166" fontId="1" fillId="0" borderId="0" xfId="0" applyNumberFormat="1" applyFont="1"/>
    <xf numFmtId="166" fontId="12" fillId="0" borderId="6" xfId="0" applyNumberFormat="1" applyFont="1" applyFill="1" applyBorder="1" applyProtection="1"/>
    <xf numFmtId="166" fontId="12" fillId="0" borderId="1" xfId="0" applyNumberFormat="1" applyFont="1" applyBorder="1"/>
    <xf numFmtId="166" fontId="12" fillId="0" borderId="1" xfId="0" applyNumberFormat="1" applyFont="1" applyFill="1" applyBorder="1"/>
    <xf numFmtId="6" fontId="12" fillId="0" borderId="0" xfId="0" applyNumberFormat="1" applyFont="1" applyFill="1" applyProtection="1"/>
    <xf numFmtId="17" fontId="12" fillId="0" borderId="0" xfId="0" applyNumberFormat="1" applyFont="1"/>
    <xf numFmtId="0" fontId="0" fillId="0" borderId="13" xfId="0" applyFill="1" applyBorder="1" applyProtection="1"/>
    <xf numFmtId="2" fontId="12" fillId="0" borderId="0" xfId="0" applyNumberFormat="1" applyFont="1"/>
    <xf numFmtId="6" fontId="12" fillId="6" borderId="0" xfId="0" applyNumberFormat="1" applyFont="1" applyFill="1" applyProtection="1">
      <protection locked="0"/>
    </xf>
    <xf numFmtId="6" fontId="2" fillId="0" borderId="0" xfId="0" applyNumberFormat="1" applyFont="1" applyFill="1"/>
    <xf numFmtId="6" fontId="12" fillId="0" borderId="0" xfId="0" applyNumberFormat="1" applyFont="1" applyFill="1"/>
    <xf numFmtId="6" fontId="12" fillId="6" borderId="0" xfId="0" applyNumberFormat="1" applyFont="1" applyFill="1" applyProtection="1"/>
    <xf numFmtId="0" fontId="11" fillId="5" borderId="14" xfId="0" applyFont="1" applyFill="1" applyBorder="1"/>
    <xf numFmtId="0" fontId="12" fillId="6" borderId="15" xfId="0" applyFont="1" applyFill="1" applyBorder="1" applyProtection="1">
      <protection locked="0"/>
    </xf>
    <xf numFmtId="0" fontId="11" fillId="5" borderId="16" xfId="0" applyFont="1" applyFill="1" applyBorder="1"/>
    <xf numFmtId="0" fontId="12" fillId="0" borderId="17" xfId="0" applyFont="1" applyFill="1" applyBorder="1" applyProtection="1">
      <protection locked="0"/>
    </xf>
    <xf numFmtId="0" fontId="12" fillId="0" borderId="18" xfId="0" applyFont="1" applyFill="1" applyBorder="1" applyProtection="1">
      <protection locked="0"/>
    </xf>
    <xf numFmtId="166" fontId="12" fillId="0" borderId="17" xfId="0" applyNumberFormat="1" applyFont="1" applyFill="1" applyBorder="1" applyProtection="1">
      <protection locked="0"/>
    </xf>
    <xf numFmtId="166" fontId="2" fillId="0" borderId="8" xfId="0" applyNumberFormat="1" applyFont="1" applyFill="1" applyBorder="1"/>
    <xf numFmtId="9" fontId="12" fillId="6" borderId="0" xfId="0" applyNumberFormat="1" applyFont="1" applyFill="1"/>
    <xf numFmtId="6" fontId="12" fillId="0" borderId="0" xfId="0" applyNumberFormat="1" applyFont="1"/>
    <xf numFmtId="1" fontId="1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topLeftCell="A23" workbookViewId="0">
      <selection activeCell="B52" sqref="B52"/>
    </sheetView>
  </sheetViews>
  <sheetFormatPr defaultRowHeight="15" x14ac:dyDescent="0.25"/>
  <cols>
    <col min="1" max="1" width="45.7109375" customWidth="1"/>
    <col min="2" max="2" width="19.28515625" customWidth="1"/>
    <col min="5" max="5" width="11.140625" bestFit="1" customWidth="1"/>
    <col min="6" max="6" width="20" customWidth="1"/>
    <col min="7" max="7" width="13.7109375" customWidth="1"/>
    <col min="8" max="8" width="16.42578125" customWidth="1"/>
  </cols>
  <sheetData>
    <row r="1" spans="1:7" ht="23.25" x14ac:dyDescent="0.35">
      <c r="A1" s="4" t="s">
        <v>72</v>
      </c>
      <c r="B1" s="5"/>
      <c r="C1" s="5"/>
      <c r="D1" s="5"/>
      <c r="E1" s="5"/>
    </row>
    <row r="2" spans="1:7" x14ac:dyDescent="0.25">
      <c r="A2" s="5"/>
      <c r="B2" s="5"/>
      <c r="C2" s="5"/>
      <c r="D2" s="5"/>
      <c r="E2" s="5"/>
    </row>
    <row r="3" spans="1:7" ht="20.25" x14ac:dyDescent="0.3">
      <c r="A3" s="7" t="s">
        <v>24</v>
      </c>
      <c r="B3" s="17" t="s">
        <v>34</v>
      </c>
      <c r="C3" s="6"/>
      <c r="D3" s="6"/>
      <c r="E3" s="6"/>
    </row>
    <row r="4" spans="1:7" x14ac:dyDescent="0.25">
      <c r="A4" s="8"/>
      <c r="B4" s="17" t="s">
        <v>70</v>
      </c>
      <c r="C4" s="6"/>
      <c r="D4" s="6"/>
      <c r="E4" s="6"/>
    </row>
    <row r="5" spans="1:7" x14ac:dyDescent="0.25">
      <c r="A5" s="8"/>
    </row>
    <row r="6" spans="1:7" ht="18.75" x14ac:dyDescent="0.3">
      <c r="A6" s="13" t="s">
        <v>2</v>
      </c>
      <c r="B6" s="31" t="s">
        <v>197</v>
      </c>
      <c r="C6" s="19"/>
      <c r="D6" s="36"/>
    </row>
    <row r="7" spans="1:7" ht="18.75" x14ac:dyDescent="0.3">
      <c r="A7" s="13"/>
    </row>
    <row r="8" spans="1:7" ht="18.75" x14ac:dyDescent="0.3">
      <c r="A8" s="13" t="s">
        <v>3</v>
      </c>
      <c r="B8" s="32" t="s">
        <v>198</v>
      </c>
      <c r="C8" s="36"/>
    </row>
    <row r="9" spans="1:7" ht="18.75" x14ac:dyDescent="0.3">
      <c r="A9" s="13"/>
    </row>
    <row r="10" spans="1:7" ht="18.75" x14ac:dyDescent="0.3">
      <c r="A10" s="13" t="s">
        <v>4</v>
      </c>
      <c r="B10" s="29">
        <f>SUM('Residential Revenue'!E111:I111)</f>
        <v>620</v>
      </c>
    </row>
    <row r="11" spans="1:7" ht="18.75" x14ac:dyDescent="0.3">
      <c r="A11" s="13"/>
      <c r="B11" s="20"/>
    </row>
    <row r="12" spans="1:7" ht="18.75" x14ac:dyDescent="0.3">
      <c r="A12" s="13" t="s">
        <v>5</v>
      </c>
      <c r="B12" s="20">
        <f>SUM('Residential Revenue'!E111)</f>
        <v>620</v>
      </c>
    </row>
    <row r="13" spans="1:7" ht="18.75" x14ac:dyDescent="0.3">
      <c r="A13" s="13" t="s">
        <v>88</v>
      </c>
      <c r="B13" s="20">
        <f>SUM('Residential Revenue'!O111)</f>
        <v>0</v>
      </c>
    </row>
    <row r="14" spans="1:7" ht="18.75" x14ac:dyDescent="0.3">
      <c r="A14" s="13" t="s">
        <v>6</v>
      </c>
      <c r="B14" s="20">
        <f>SUM('Residential Revenue'!F111:I111)</f>
        <v>0</v>
      </c>
      <c r="D14" s="41">
        <f>SUM(B14/B10)</f>
        <v>0</v>
      </c>
      <c r="G14" t="s">
        <v>194</v>
      </c>
    </row>
    <row r="15" spans="1:7" ht="18.75" x14ac:dyDescent="0.3">
      <c r="A15" s="13" t="s">
        <v>89</v>
      </c>
      <c r="B15" s="20">
        <f>SUM('Residential Revenue'!N111)</f>
        <v>0</v>
      </c>
      <c r="D15" s="40" t="e">
        <f>SUM(B15/B13)</f>
        <v>#DIV/0!</v>
      </c>
    </row>
    <row r="16" spans="1:7" ht="18.75" x14ac:dyDescent="0.3">
      <c r="A16" s="13" t="s">
        <v>7</v>
      </c>
      <c r="B16" s="20">
        <f>SUM('Residential Revenue'!F111)</f>
        <v>0</v>
      </c>
      <c r="D16" s="40" t="e">
        <f>SUM(B16/B14)</f>
        <v>#DIV/0!</v>
      </c>
    </row>
    <row r="17" spans="1:9" ht="18.75" x14ac:dyDescent="0.3">
      <c r="A17" s="13"/>
      <c r="B17" s="20"/>
    </row>
    <row r="18" spans="1:9" ht="18.75" x14ac:dyDescent="0.3">
      <c r="A18" s="13" t="s">
        <v>8</v>
      </c>
      <c r="B18" s="20">
        <f>SUM('Residential Revenue'!G111)</f>
        <v>0</v>
      </c>
      <c r="D18" s="40" t="e">
        <f>SUM(B18/B14)</f>
        <v>#DIV/0!</v>
      </c>
    </row>
    <row r="19" spans="1:9" ht="18.75" x14ac:dyDescent="0.3">
      <c r="A19" s="13"/>
      <c r="B19" s="20"/>
    </row>
    <row r="20" spans="1:9" ht="18.75" x14ac:dyDescent="0.3">
      <c r="A20" s="13" t="s">
        <v>9</v>
      </c>
      <c r="B20" s="20">
        <f>SUM('Residential Revenue'!H111)</f>
        <v>0</v>
      </c>
      <c r="D20" s="40" t="e">
        <f>SUM(B20/B14)</f>
        <v>#DIV/0!</v>
      </c>
    </row>
    <row r="21" spans="1:9" ht="18.75" x14ac:dyDescent="0.3">
      <c r="A21" s="13"/>
      <c r="B21" s="20"/>
    </row>
    <row r="22" spans="1:9" ht="18.75" x14ac:dyDescent="0.3">
      <c r="A22" s="13" t="s">
        <v>10</v>
      </c>
      <c r="B22" s="20">
        <f>SUM('Residential Revenue'!I111)</f>
        <v>0</v>
      </c>
      <c r="D22" s="40" t="e">
        <f>SUM(B22/B14)</f>
        <v>#DIV/0!</v>
      </c>
    </row>
    <row r="23" spans="1:9" ht="18.75" x14ac:dyDescent="0.3">
      <c r="A23" s="13"/>
      <c r="B23" s="20"/>
    </row>
    <row r="24" spans="1:9" ht="18.75" x14ac:dyDescent="0.3">
      <c r="A24" s="13" t="s">
        <v>37</v>
      </c>
      <c r="B24" s="26">
        <f>SUM('Residential Costs'!B35+'Residential Costs'!B37)</f>
        <v>8548988</v>
      </c>
      <c r="E24" s="3"/>
    </row>
    <row r="25" spans="1:9" ht="18.75" x14ac:dyDescent="0.3">
      <c r="A25" s="13"/>
    </row>
    <row r="26" spans="1:9" ht="18.75" x14ac:dyDescent="0.3">
      <c r="A26" s="13" t="s">
        <v>93</v>
      </c>
      <c r="B26" s="32"/>
      <c r="E26" s="13" t="s">
        <v>11</v>
      </c>
      <c r="F26" s="36"/>
      <c r="G26" t="s">
        <v>12</v>
      </c>
      <c r="H26" s="36"/>
      <c r="I26" t="s">
        <v>13</v>
      </c>
    </row>
    <row r="27" spans="1:9" ht="18.75" x14ac:dyDescent="0.3">
      <c r="A27" s="13"/>
      <c r="B27" s="39"/>
      <c r="E27" s="44"/>
      <c r="F27" s="20"/>
      <c r="G27" s="20"/>
      <c r="H27" s="20"/>
    </row>
    <row r="28" spans="1:9" ht="18.75" x14ac:dyDescent="0.3">
      <c r="A28" s="13" t="s">
        <v>106</v>
      </c>
      <c r="B28" s="29">
        <f>SUM('Residential Revenue'!B112)</f>
        <v>52945</v>
      </c>
      <c r="C28" s="91"/>
      <c r="D28" s="91"/>
      <c r="E28" s="92"/>
      <c r="F28" s="29"/>
      <c r="G28" s="29"/>
      <c r="H28" s="29"/>
    </row>
    <row r="29" spans="1:9" ht="18.75" x14ac:dyDescent="0.3">
      <c r="A29" s="13" t="s">
        <v>107</v>
      </c>
      <c r="B29" s="29">
        <f>SUM(' Commercial Revenue'!B22)</f>
        <v>21296</v>
      </c>
      <c r="C29" s="91"/>
      <c r="D29" s="91"/>
      <c r="E29" s="92"/>
      <c r="F29" s="29"/>
      <c r="G29" s="29"/>
      <c r="H29" s="29"/>
    </row>
    <row r="30" spans="1:9" ht="18.75" x14ac:dyDescent="0.3">
      <c r="A30" s="13" t="s">
        <v>210</v>
      </c>
      <c r="B30" s="29">
        <f>SUM('Residential Revenue'!M133)</f>
        <v>2178</v>
      </c>
      <c r="C30" s="91"/>
      <c r="D30" s="91"/>
      <c r="E30" s="92"/>
      <c r="F30" s="29"/>
      <c r="G30" s="29"/>
      <c r="H30" s="29"/>
    </row>
    <row r="31" spans="1:9" ht="18.75" x14ac:dyDescent="0.3">
      <c r="A31" s="13" t="s">
        <v>105</v>
      </c>
      <c r="B31" s="93">
        <f>SUM(B28:B30)</f>
        <v>76419</v>
      </c>
      <c r="C31" s="91"/>
      <c r="D31" s="91"/>
      <c r="E31" s="91"/>
      <c r="F31" s="91"/>
      <c r="G31" s="91"/>
      <c r="H31" s="91"/>
    </row>
    <row r="32" spans="1:9" ht="18.75" x14ac:dyDescent="0.3">
      <c r="A32" s="13"/>
      <c r="B32" s="91"/>
      <c r="C32" s="91"/>
      <c r="D32" s="91"/>
      <c r="E32" s="91"/>
      <c r="F32" s="91"/>
      <c r="G32" s="91"/>
      <c r="H32" s="91"/>
    </row>
    <row r="33" spans="1:8" ht="23.25" x14ac:dyDescent="0.35">
      <c r="A33" s="30" t="s">
        <v>102</v>
      </c>
      <c r="B33" s="91"/>
      <c r="C33" s="91"/>
      <c r="D33" s="91"/>
      <c r="E33" s="91"/>
      <c r="F33" s="91"/>
      <c r="G33" s="91"/>
      <c r="H33" s="91"/>
    </row>
    <row r="34" spans="1:8" ht="18.75" x14ac:dyDescent="0.3">
      <c r="A34" s="9" t="s">
        <v>69</v>
      </c>
      <c r="B34" s="94">
        <f>SUM('Residential Revenue'!J123+'Residential Revenue'!F133+'Residential Revenue'!M131)</f>
        <v>213048499</v>
      </c>
      <c r="C34" s="91"/>
      <c r="D34" s="91"/>
      <c r="E34" s="91"/>
      <c r="F34" s="91"/>
      <c r="G34" s="91"/>
      <c r="H34" s="91"/>
    </row>
    <row r="35" spans="1:8" ht="18.75" x14ac:dyDescent="0.3">
      <c r="A35" s="13"/>
      <c r="B35" s="29"/>
      <c r="C35" s="91"/>
      <c r="D35" s="91"/>
      <c r="E35" s="91"/>
      <c r="F35" s="91"/>
      <c r="G35" s="91"/>
      <c r="H35" s="91"/>
    </row>
    <row r="36" spans="1:8" ht="18.75" x14ac:dyDescent="0.3">
      <c r="A36" s="9" t="s">
        <v>65</v>
      </c>
      <c r="B36" s="94">
        <f>SUM('Residential Costs'!B71)</f>
        <v>324775224.56166667</v>
      </c>
      <c r="C36" s="91"/>
      <c r="D36" s="91"/>
      <c r="E36" s="91"/>
      <c r="F36" s="91"/>
      <c r="G36" s="91"/>
      <c r="H36" s="91"/>
    </row>
    <row r="37" spans="1:8" ht="18.75" x14ac:dyDescent="0.3">
      <c r="A37" s="13"/>
      <c r="B37" s="29"/>
      <c r="C37" s="91"/>
      <c r="D37" s="91"/>
      <c r="E37" s="91"/>
      <c r="F37" s="93" t="s">
        <v>201</v>
      </c>
      <c r="G37" s="118">
        <f>SUM(B34+B40)</f>
        <v>314632496.55887151</v>
      </c>
      <c r="H37" s="93"/>
    </row>
    <row r="38" spans="1:8" ht="18.75" x14ac:dyDescent="0.3">
      <c r="A38" s="13" t="s">
        <v>66</v>
      </c>
      <c r="B38" s="94">
        <f>SUM(B34-B36)</f>
        <v>-111726725.56166667</v>
      </c>
      <c r="C38" s="91"/>
      <c r="D38" s="91"/>
      <c r="E38" s="91"/>
      <c r="F38" s="93" t="s">
        <v>202</v>
      </c>
      <c r="G38" s="118">
        <f>SUM(B36+B42)</f>
        <v>341924483.97108608</v>
      </c>
      <c r="H38" s="91"/>
    </row>
    <row r="39" spans="1:8" ht="18.75" x14ac:dyDescent="0.3">
      <c r="A39" s="13"/>
      <c r="B39" s="95"/>
      <c r="C39" s="91"/>
      <c r="D39" s="91"/>
      <c r="E39" s="91"/>
      <c r="F39" s="91"/>
      <c r="G39" s="91"/>
      <c r="H39" s="91"/>
    </row>
    <row r="40" spans="1:8" ht="18.75" x14ac:dyDescent="0.3">
      <c r="A40" s="9" t="s">
        <v>94</v>
      </c>
      <c r="B40" s="94">
        <f>SUM(' Commercial Revenue'!I22)</f>
        <v>101583997.55887148</v>
      </c>
      <c r="C40" s="91"/>
      <c r="D40" s="91"/>
      <c r="E40" s="91"/>
      <c r="F40" s="91"/>
      <c r="G40" s="91"/>
      <c r="H40" s="91"/>
    </row>
    <row r="41" spans="1:8" ht="18.75" x14ac:dyDescent="0.3">
      <c r="A41" s="9"/>
      <c r="B41" s="95"/>
      <c r="C41" s="91"/>
      <c r="D41" s="91"/>
      <c r="E41" s="91"/>
      <c r="F41" s="91"/>
      <c r="G41" s="91"/>
      <c r="H41" s="91"/>
    </row>
    <row r="42" spans="1:8" ht="18.75" x14ac:dyDescent="0.3">
      <c r="A42" s="9" t="s">
        <v>95</v>
      </c>
      <c r="B42" s="94">
        <f>SUM('Commercial Costs'!B68)</f>
        <v>17149259.409419436</v>
      </c>
      <c r="C42" s="91"/>
      <c r="D42" s="91"/>
      <c r="E42" s="91"/>
      <c r="F42" s="91"/>
      <c r="G42" s="91"/>
      <c r="H42" s="91"/>
    </row>
    <row r="43" spans="1:8" ht="18.75" x14ac:dyDescent="0.3">
      <c r="A43" s="13"/>
      <c r="B43" s="95"/>
      <c r="C43" s="91"/>
      <c r="D43" s="91"/>
      <c r="E43" s="91"/>
      <c r="F43" s="91"/>
      <c r="G43" s="91"/>
      <c r="H43" s="91"/>
    </row>
    <row r="44" spans="1:8" ht="18.75" x14ac:dyDescent="0.3">
      <c r="A44" s="13" t="s">
        <v>67</v>
      </c>
      <c r="B44" s="95">
        <f>SUM(B40-B42)</f>
        <v>84434738.149452046</v>
      </c>
      <c r="C44" s="91"/>
      <c r="D44" s="91"/>
      <c r="E44" s="91"/>
      <c r="F44" s="91"/>
      <c r="G44" s="91"/>
      <c r="H44" s="91"/>
    </row>
    <row r="45" spans="1:8" ht="18.75" x14ac:dyDescent="0.3">
      <c r="A45" s="13"/>
      <c r="B45" s="95"/>
      <c r="C45" s="91"/>
      <c r="D45" s="91"/>
      <c r="E45" s="91"/>
      <c r="F45" s="91"/>
      <c r="G45" s="91"/>
      <c r="H45" s="91"/>
    </row>
    <row r="46" spans="1:8" ht="23.25" x14ac:dyDescent="0.35">
      <c r="A46" s="30" t="s">
        <v>68</v>
      </c>
      <c r="B46" s="96">
        <f>SUM(B38+B44)</f>
        <v>-27291987.412214622</v>
      </c>
      <c r="C46" s="91"/>
      <c r="D46" s="91"/>
      <c r="E46" s="97" t="s">
        <v>112</v>
      </c>
      <c r="F46" s="91"/>
      <c r="G46" s="91"/>
      <c r="H46" s="98">
        <f>SUM('Land '!B16)</f>
        <v>31049999.999999996</v>
      </c>
    </row>
    <row r="47" spans="1:8" ht="18.75" x14ac:dyDescent="0.3">
      <c r="A47" s="13"/>
      <c r="B47" s="99"/>
      <c r="C47" s="91"/>
      <c r="D47" s="91"/>
      <c r="E47" s="91"/>
      <c r="F47" s="91"/>
      <c r="G47" s="91"/>
      <c r="H47" s="91"/>
    </row>
    <row r="48" spans="1:8" ht="18.75" x14ac:dyDescent="0.3">
      <c r="A48" s="13" t="s">
        <v>38</v>
      </c>
      <c r="B48" s="100">
        <f>SUM(B46-'Land '!B18)</f>
        <v>-54291987.412214622</v>
      </c>
      <c r="C48" s="91"/>
      <c r="D48" s="91"/>
      <c r="E48" s="91"/>
      <c r="F48" s="91"/>
      <c r="G48" s="91"/>
      <c r="H48" s="91"/>
    </row>
    <row r="49" spans="1:8" ht="18.75" x14ac:dyDescent="0.3">
      <c r="A49" s="13"/>
      <c r="B49" s="100"/>
      <c r="C49" s="91"/>
      <c r="D49" s="91"/>
      <c r="E49" s="91"/>
      <c r="F49" s="91"/>
      <c r="G49" s="91"/>
      <c r="H49" s="91"/>
    </row>
    <row r="50" spans="1:8" ht="18.75" x14ac:dyDescent="0.3">
      <c r="A50" s="13" t="s">
        <v>71</v>
      </c>
      <c r="B50" s="100">
        <f>SUM(B46-'Land '!B16)</f>
        <v>-58341987.412214622</v>
      </c>
      <c r="C50" s="91"/>
      <c r="D50" s="91"/>
      <c r="E50" s="91"/>
      <c r="F50" s="91"/>
      <c r="G50" s="91"/>
      <c r="H50" s="91"/>
    </row>
    <row r="51" spans="1:8" ht="18.75" x14ac:dyDescent="0.3">
      <c r="A51" s="13"/>
    </row>
    <row r="52" spans="1:8" ht="18.75" x14ac:dyDescent="0.3">
      <c r="A52" s="44"/>
      <c r="B52" s="39"/>
    </row>
    <row r="53" spans="1:8" ht="18.75" x14ac:dyDescent="0.3">
      <c r="A53" s="44"/>
      <c r="B53" s="46"/>
      <c r="C53" s="15"/>
    </row>
    <row r="54" spans="1:8" ht="18.75" x14ac:dyDescent="0.3">
      <c r="A54" s="44"/>
      <c r="B54" s="46"/>
    </row>
    <row r="55" spans="1:8" x14ac:dyDescent="0.25">
      <c r="A55" s="20"/>
      <c r="B55" s="39"/>
    </row>
    <row r="56" spans="1:8" ht="18.75" x14ac:dyDescent="0.3">
      <c r="A56" s="44"/>
      <c r="B56" s="39"/>
    </row>
    <row r="57" spans="1:8" x14ac:dyDescent="0.25">
      <c r="A57" s="20"/>
    </row>
  </sheetData>
  <sheetProtection algorithmName="SHA-512" hashValue="2Z9lCwLl3dTdE1lnb1akxcDs/E27ORu04I2TTkoEP1wP0kFWIeA8V65BiJVXps9FCQNdCp5zNI3Xi4XWwErc4w==" saltValue="9cWgtC21NGM/kPQ5/Fa4nw==" spinCount="100000" sheet="1" selectLockedCells="1"/>
  <pageMargins left="0.7" right="0.7" top="0.75" bottom="0.75" header="0.3" footer="0.3"/>
  <pageSetup paperSize="8" scale="7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33"/>
  <sheetViews>
    <sheetView workbookViewId="0">
      <pane xSplit="18" ySplit="8" topLeftCell="S46" activePane="bottomRight" state="frozen"/>
      <selection pane="topRight" activeCell="T1" sqref="T1"/>
      <selection pane="bottomLeft" activeCell="A9" sqref="A9"/>
      <selection pane="bottomRight" activeCell="P46" sqref="P46"/>
    </sheetView>
  </sheetViews>
  <sheetFormatPr defaultRowHeight="15" x14ac:dyDescent="0.25"/>
  <cols>
    <col min="1" max="1" width="11.7109375" customWidth="1"/>
    <col min="2" max="5" width="6.28515625" customWidth="1"/>
    <col min="6" max="6" width="13.140625" customWidth="1"/>
    <col min="7" max="9" width="6.28515625" customWidth="1"/>
    <col min="10" max="10" width="14.28515625" customWidth="1"/>
    <col min="11" max="11" width="6.28515625" customWidth="1"/>
    <col min="12" max="12" width="8" customWidth="1"/>
    <col min="13" max="14" width="8.42578125" customWidth="1"/>
    <col min="15" max="15" width="7.42578125" customWidth="1"/>
    <col min="16" max="16" width="12.42578125" customWidth="1"/>
    <col min="17" max="17" width="11.42578125" customWidth="1"/>
    <col min="18" max="18" width="12.140625" customWidth="1"/>
    <col min="19" max="19" width="11.7109375" customWidth="1"/>
    <col min="20" max="20" width="12.5703125" customWidth="1"/>
    <col min="21" max="21" width="6.28515625" customWidth="1"/>
    <col min="22" max="22" width="11.42578125" customWidth="1"/>
    <col min="23" max="23" width="11.7109375" customWidth="1"/>
    <col min="24" max="24" width="10.28515625" customWidth="1"/>
    <col min="25" max="25" width="13.42578125" customWidth="1"/>
    <col min="26" max="26" width="12.42578125" customWidth="1"/>
  </cols>
  <sheetData>
    <row r="1" spans="1:27" ht="23.25" x14ac:dyDescent="0.35">
      <c r="A1" s="4" t="s">
        <v>72</v>
      </c>
      <c r="B1" s="101"/>
      <c r="C1" s="101"/>
      <c r="D1" s="101"/>
      <c r="E1" s="101"/>
      <c r="F1" s="101"/>
      <c r="G1" s="101"/>
      <c r="H1" s="10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</row>
    <row r="2" spans="1:27" x14ac:dyDescent="0.25">
      <c r="A2" s="5"/>
      <c r="B2" s="102"/>
      <c r="C2" s="102"/>
      <c r="D2" s="102"/>
      <c r="E2" s="102"/>
      <c r="F2" s="102"/>
      <c r="G2" s="102"/>
      <c r="H2" s="102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</row>
    <row r="3" spans="1:27" ht="20.25" x14ac:dyDescent="0.3">
      <c r="A3" s="7" t="s">
        <v>122</v>
      </c>
      <c r="B3" s="103"/>
      <c r="C3" s="103"/>
      <c r="D3" s="103"/>
      <c r="E3" s="103"/>
      <c r="F3" s="103"/>
      <c r="G3" s="103"/>
      <c r="H3" s="103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</row>
    <row r="4" spans="1:27" x14ac:dyDescent="0.25">
      <c r="A4" s="31"/>
      <c r="B4" s="104"/>
      <c r="C4" s="104"/>
      <c r="D4" s="104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</row>
    <row r="5" spans="1:27" x14ac:dyDescent="0.25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</row>
    <row r="6" spans="1:27" ht="185.25" x14ac:dyDescent="0.25">
      <c r="A6" s="27" t="s">
        <v>75</v>
      </c>
      <c r="B6" s="105" t="s">
        <v>76</v>
      </c>
      <c r="C6" s="105" t="s">
        <v>77</v>
      </c>
      <c r="D6" s="105" t="s">
        <v>39</v>
      </c>
      <c r="E6" s="105" t="s">
        <v>26</v>
      </c>
      <c r="F6" s="105" t="s">
        <v>27</v>
      </c>
      <c r="G6" s="105" t="s">
        <v>28</v>
      </c>
      <c r="H6" s="105" t="s">
        <v>29</v>
      </c>
      <c r="I6" s="105" t="s">
        <v>32</v>
      </c>
      <c r="J6" s="105" t="s">
        <v>35</v>
      </c>
      <c r="K6" s="105" t="s">
        <v>78</v>
      </c>
      <c r="L6" s="105" t="s">
        <v>79</v>
      </c>
      <c r="M6" s="105" t="s">
        <v>86</v>
      </c>
      <c r="N6" s="105" t="s">
        <v>90</v>
      </c>
      <c r="O6" s="105" t="s">
        <v>87</v>
      </c>
      <c r="P6" s="105" t="s">
        <v>56</v>
      </c>
      <c r="Q6" s="105" t="s">
        <v>104</v>
      </c>
      <c r="R6" s="105" t="s">
        <v>54</v>
      </c>
      <c r="S6" s="105" t="s">
        <v>55</v>
      </c>
      <c r="T6" s="105" t="s">
        <v>63</v>
      </c>
      <c r="U6" s="105" t="s">
        <v>58</v>
      </c>
      <c r="V6" s="105" t="s">
        <v>57</v>
      </c>
      <c r="W6" s="105" t="s">
        <v>82</v>
      </c>
      <c r="X6" s="105" t="s">
        <v>36</v>
      </c>
      <c r="Y6" s="105" t="s">
        <v>0</v>
      </c>
      <c r="Z6" s="91"/>
      <c r="AA6" s="91"/>
    </row>
    <row r="7" spans="1:27" x14ac:dyDescent="0.25">
      <c r="A7" s="33" t="s">
        <v>180</v>
      </c>
      <c r="B7" s="33"/>
      <c r="C7" s="33"/>
      <c r="D7" s="33"/>
      <c r="E7" s="33"/>
      <c r="F7" s="33"/>
      <c r="G7" s="33"/>
      <c r="H7" s="33"/>
      <c r="I7" s="33"/>
      <c r="J7" s="33"/>
      <c r="K7" s="22">
        <f>SUM(E7*J7)</f>
        <v>0</v>
      </c>
      <c r="L7" s="22">
        <f>SUM(F7:I7)*J7</f>
        <v>0</v>
      </c>
      <c r="M7" s="33"/>
      <c r="N7" s="106">
        <f>SUM(F7:I7)*M7</f>
        <v>0</v>
      </c>
      <c r="O7" s="106">
        <f>SUM(E7:I7)*M7</f>
        <v>0</v>
      </c>
      <c r="P7" s="38">
        <f>SUM(J7*5295)</f>
        <v>0</v>
      </c>
      <c r="Q7" s="37">
        <f>SUM(P7*80%)</f>
        <v>0</v>
      </c>
      <c r="R7" s="38">
        <f>SUM(P7*65%)</f>
        <v>0</v>
      </c>
      <c r="S7" s="38">
        <f>SUM(P7*45%)</f>
        <v>0</v>
      </c>
      <c r="T7" s="23">
        <f>SUM(P7*E7)</f>
        <v>0</v>
      </c>
      <c r="U7" s="23">
        <f>SUM(Q7*I7)</f>
        <v>0</v>
      </c>
      <c r="V7" s="23">
        <f>SUM(R7*H7+S7*G7+S7*F7)</f>
        <v>0</v>
      </c>
      <c r="W7" s="23">
        <f>SUM(U7+V7)</f>
        <v>0</v>
      </c>
      <c r="X7" s="23" t="e">
        <f>SUM(Y7/K7)</f>
        <v>#DIV/0!</v>
      </c>
      <c r="Y7" s="23">
        <f>SUM(T7:V7)</f>
        <v>0</v>
      </c>
    </row>
    <row r="8" spans="1:27" x14ac:dyDescent="0.25">
      <c r="A8" s="33" t="s">
        <v>181</v>
      </c>
      <c r="B8" s="33"/>
      <c r="C8" s="33"/>
      <c r="D8" s="33">
        <v>1</v>
      </c>
      <c r="E8" s="33">
        <v>12</v>
      </c>
      <c r="F8" s="33"/>
      <c r="G8" s="33"/>
      <c r="H8" s="33"/>
      <c r="I8" s="33"/>
      <c r="J8" s="33">
        <v>46</v>
      </c>
      <c r="K8" s="22">
        <f t="shared" ref="K8:K71" si="0">SUM(E8*J8)</f>
        <v>552</v>
      </c>
      <c r="L8" s="22">
        <f t="shared" ref="L8:L71" si="1">SUM(F8:I8)*J8</f>
        <v>0</v>
      </c>
      <c r="M8" s="33"/>
      <c r="N8" s="106">
        <f t="shared" ref="N8:N71" si="2">SUM(F8:I8)*M8</f>
        <v>0</v>
      </c>
      <c r="O8" s="106">
        <f t="shared" ref="O8:O71" si="3">SUM(E8:I8)*M8</f>
        <v>0</v>
      </c>
      <c r="P8" s="38">
        <f>SUM(J8*5349)</f>
        <v>246054</v>
      </c>
      <c r="Q8" s="37">
        <f t="shared" ref="Q8:Q71" si="4">SUM(P8*80%)</f>
        <v>196843.2</v>
      </c>
      <c r="R8" s="38">
        <f t="shared" ref="R8:R45" si="5">SUM(P8*65%)</f>
        <v>159935.1</v>
      </c>
      <c r="S8" s="38">
        <f t="shared" ref="S8:S46" si="6">SUM(P8*45%)</f>
        <v>110724.3</v>
      </c>
      <c r="T8" s="23">
        <f t="shared" ref="T8:T71" si="7">SUM(P8*E8)</f>
        <v>2952648</v>
      </c>
      <c r="U8" s="23">
        <f t="shared" ref="U8:U71" si="8">SUM(Q8*I8)</f>
        <v>0</v>
      </c>
      <c r="V8" s="23">
        <f t="shared" ref="V8:V71" si="9">SUM(R8*H8+S8*G8+S8*F8)</f>
        <v>0</v>
      </c>
      <c r="W8" s="23">
        <f t="shared" ref="W8:W71" si="10">SUM(U8+V8)</f>
        <v>0</v>
      </c>
      <c r="X8" s="23">
        <f t="shared" ref="X8:X71" si="11">SUM(Y8/K8)</f>
        <v>5349</v>
      </c>
      <c r="Y8" s="23">
        <f t="shared" ref="Y8:Y71" si="12">SUM(T8:V8)</f>
        <v>2952648</v>
      </c>
    </row>
    <row r="9" spans="1:27" x14ac:dyDescent="0.25">
      <c r="A9" s="33" t="s">
        <v>182</v>
      </c>
      <c r="B9" s="33"/>
      <c r="C9" s="33"/>
      <c r="D9" s="33">
        <v>1</v>
      </c>
      <c r="E9" s="33">
        <v>74</v>
      </c>
      <c r="F9" s="33"/>
      <c r="G9" s="33"/>
      <c r="H9" s="33"/>
      <c r="I9" s="33"/>
      <c r="J9" s="33">
        <v>55</v>
      </c>
      <c r="K9" s="22">
        <f t="shared" si="0"/>
        <v>4070</v>
      </c>
      <c r="L9" s="22">
        <f t="shared" si="1"/>
        <v>0</v>
      </c>
      <c r="M9" s="33"/>
      <c r="N9" s="106">
        <f t="shared" si="2"/>
        <v>0</v>
      </c>
      <c r="O9" s="106">
        <f t="shared" si="3"/>
        <v>0</v>
      </c>
      <c r="P9" s="38">
        <f t="shared" ref="P9:P49" si="13">SUM(J9*5349)</f>
        <v>294195</v>
      </c>
      <c r="Q9" s="37">
        <f t="shared" si="4"/>
        <v>235356</v>
      </c>
      <c r="R9" s="38">
        <f t="shared" si="5"/>
        <v>191226.75</v>
      </c>
      <c r="S9" s="38">
        <f t="shared" si="6"/>
        <v>132387.75</v>
      </c>
      <c r="T9" s="23">
        <f t="shared" si="7"/>
        <v>21770430</v>
      </c>
      <c r="U9" s="23">
        <f t="shared" si="8"/>
        <v>0</v>
      </c>
      <c r="V9" s="23">
        <f t="shared" si="9"/>
        <v>0</v>
      </c>
      <c r="W9" s="23">
        <f t="shared" si="10"/>
        <v>0</v>
      </c>
      <c r="X9" s="23">
        <f t="shared" si="11"/>
        <v>5349</v>
      </c>
      <c r="Y9" s="23">
        <f t="shared" si="12"/>
        <v>21770430</v>
      </c>
      <c r="Z9">
        <f>SUM(K8:K11)</f>
        <v>11947</v>
      </c>
    </row>
    <row r="10" spans="1:27" x14ac:dyDescent="0.25">
      <c r="A10" s="33" t="s">
        <v>183</v>
      </c>
      <c r="B10" s="33"/>
      <c r="C10" s="33"/>
      <c r="D10" s="33">
        <v>2</v>
      </c>
      <c r="E10" s="33">
        <v>87</v>
      </c>
      <c r="F10" s="33"/>
      <c r="G10" s="33"/>
      <c r="H10" s="33"/>
      <c r="I10" s="33"/>
      <c r="J10" s="33">
        <v>75</v>
      </c>
      <c r="K10" s="22">
        <f t="shared" si="0"/>
        <v>6525</v>
      </c>
      <c r="L10" s="22">
        <f t="shared" si="1"/>
        <v>0</v>
      </c>
      <c r="M10" s="33"/>
      <c r="N10" s="106">
        <f t="shared" si="2"/>
        <v>0</v>
      </c>
      <c r="O10" s="106">
        <f t="shared" si="3"/>
        <v>0</v>
      </c>
      <c r="P10" s="38">
        <f t="shared" si="13"/>
        <v>401175</v>
      </c>
      <c r="Q10" s="37">
        <f t="shared" si="4"/>
        <v>320940</v>
      </c>
      <c r="R10" s="38">
        <f t="shared" si="5"/>
        <v>260763.75</v>
      </c>
      <c r="S10" s="38">
        <f t="shared" si="6"/>
        <v>180528.75</v>
      </c>
      <c r="T10" s="23">
        <f t="shared" si="7"/>
        <v>34902225</v>
      </c>
      <c r="U10" s="23">
        <f t="shared" si="8"/>
        <v>0</v>
      </c>
      <c r="V10" s="23">
        <f t="shared" si="9"/>
        <v>0</v>
      </c>
      <c r="W10" s="23">
        <f t="shared" si="10"/>
        <v>0</v>
      </c>
      <c r="X10" s="23">
        <f t="shared" si="11"/>
        <v>5349</v>
      </c>
      <c r="Y10" s="23">
        <f t="shared" si="12"/>
        <v>34902225</v>
      </c>
    </row>
    <row r="11" spans="1:27" x14ac:dyDescent="0.25">
      <c r="A11" s="33" t="s">
        <v>184</v>
      </c>
      <c r="B11" s="33"/>
      <c r="C11" s="33"/>
      <c r="D11" s="33">
        <v>3</v>
      </c>
      <c r="E11" s="33">
        <v>10</v>
      </c>
      <c r="F11" s="33"/>
      <c r="G11" s="33"/>
      <c r="H11" s="33"/>
      <c r="I11" s="33"/>
      <c r="J11" s="33">
        <v>80</v>
      </c>
      <c r="K11" s="22">
        <f t="shared" si="0"/>
        <v>800</v>
      </c>
      <c r="L11" s="22">
        <f t="shared" si="1"/>
        <v>0</v>
      </c>
      <c r="M11" s="33"/>
      <c r="N11" s="106">
        <f t="shared" si="2"/>
        <v>0</v>
      </c>
      <c r="O11" s="106">
        <f t="shared" si="3"/>
        <v>0</v>
      </c>
      <c r="P11" s="38">
        <f t="shared" si="13"/>
        <v>427920</v>
      </c>
      <c r="Q11" s="37">
        <f t="shared" si="4"/>
        <v>342336</v>
      </c>
      <c r="R11" s="38">
        <f t="shared" si="5"/>
        <v>278148</v>
      </c>
      <c r="S11" s="38">
        <f t="shared" si="6"/>
        <v>192564</v>
      </c>
      <c r="T11" s="23">
        <f t="shared" si="7"/>
        <v>4279200</v>
      </c>
      <c r="U11" s="23">
        <f t="shared" si="8"/>
        <v>0</v>
      </c>
      <c r="V11" s="23">
        <f t="shared" si="9"/>
        <v>0</v>
      </c>
      <c r="W11" s="23">
        <f t="shared" si="10"/>
        <v>0</v>
      </c>
      <c r="X11" s="23">
        <f t="shared" si="11"/>
        <v>5349</v>
      </c>
      <c r="Y11" s="23">
        <f t="shared" si="12"/>
        <v>4279200</v>
      </c>
    </row>
    <row r="12" spans="1:27" x14ac:dyDescent="0.25">
      <c r="A12" s="33" t="s">
        <v>186</v>
      </c>
      <c r="B12" s="33"/>
      <c r="C12" s="33"/>
      <c r="D12" s="33"/>
      <c r="E12" s="33"/>
      <c r="F12" s="33"/>
      <c r="G12" s="33"/>
      <c r="H12" s="33"/>
      <c r="I12" s="33"/>
      <c r="J12" s="33"/>
      <c r="K12" s="22">
        <f t="shared" si="0"/>
        <v>0</v>
      </c>
      <c r="L12" s="22">
        <f t="shared" si="1"/>
        <v>0</v>
      </c>
      <c r="M12" s="33"/>
      <c r="N12" s="106">
        <f t="shared" si="2"/>
        <v>0</v>
      </c>
      <c r="O12" s="106">
        <f t="shared" si="3"/>
        <v>0</v>
      </c>
      <c r="P12" s="38">
        <f t="shared" si="13"/>
        <v>0</v>
      </c>
      <c r="Q12" s="37">
        <f t="shared" si="4"/>
        <v>0</v>
      </c>
      <c r="R12" s="38">
        <f t="shared" si="5"/>
        <v>0</v>
      </c>
      <c r="S12" s="38">
        <f t="shared" si="6"/>
        <v>0</v>
      </c>
      <c r="T12" s="23">
        <f t="shared" si="7"/>
        <v>0</v>
      </c>
      <c r="U12" s="23">
        <f t="shared" si="8"/>
        <v>0</v>
      </c>
      <c r="V12" s="23">
        <f t="shared" si="9"/>
        <v>0</v>
      </c>
      <c r="W12" s="23">
        <f t="shared" si="10"/>
        <v>0</v>
      </c>
      <c r="X12" s="23" t="e">
        <f t="shared" si="11"/>
        <v>#DIV/0!</v>
      </c>
      <c r="Y12" s="23">
        <f t="shared" si="12"/>
        <v>0</v>
      </c>
    </row>
    <row r="13" spans="1:27" x14ac:dyDescent="0.25">
      <c r="A13" s="33" t="s">
        <v>185</v>
      </c>
      <c r="B13" s="33"/>
      <c r="C13" s="33"/>
      <c r="D13" s="33"/>
      <c r="E13" s="33"/>
      <c r="F13" s="33"/>
      <c r="G13" s="33"/>
      <c r="H13" s="33"/>
      <c r="I13" s="33"/>
      <c r="J13" s="33"/>
      <c r="K13" s="22">
        <f t="shared" si="0"/>
        <v>0</v>
      </c>
      <c r="L13" s="22">
        <f t="shared" si="1"/>
        <v>0</v>
      </c>
      <c r="M13" s="33"/>
      <c r="N13" s="106">
        <f t="shared" si="2"/>
        <v>0</v>
      </c>
      <c r="O13" s="106">
        <f t="shared" si="3"/>
        <v>0</v>
      </c>
      <c r="P13" s="38">
        <f t="shared" si="13"/>
        <v>0</v>
      </c>
      <c r="Q13" s="37">
        <f t="shared" si="4"/>
        <v>0</v>
      </c>
      <c r="R13" s="38">
        <f t="shared" si="5"/>
        <v>0</v>
      </c>
      <c r="S13" s="38">
        <f t="shared" si="6"/>
        <v>0</v>
      </c>
      <c r="T13" s="23">
        <f t="shared" si="7"/>
        <v>0</v>
      </c>
      <c r="U13" s="23">
        <f t="shared" si="8"/>
        <v>0</v>
      </c>
      <c r="V13" s="23">
        <f t="shared" si="9"/>
        <v>0</v>
      </c>
      <c r="W13" s="23">
        <f t="shared" si="10"/>
        <v>0</v>
      </c>
      <c r="X13" s="23" t="e">
        <f t="shared" si="11"/>
        <v>#DIV/0!</v>
      </c>
      <c r="Y13" s="23">
        <f t="shared" si="12"/>
        <v>0</v>
      </c>
    </row>
    <row r="14" spans="1:27" x14ac:dyDescent="0.25">
      <c r="A14" s="33" t="s">
        <v>181</v>
      </c>
      <c r="B14" s="33"/>
      <c r="C14" s="33"/>
      <c r="D14" s="33">
        <v>1</v>
      </c>
      <c r="E14" s="33">
        <v>30</v>
      </c>
      <c r="F14" s="33"/>
      <c r="G14" s="33"/>
      <c r="H14" s="33"/>
      <c r="I14" s="33"/>
      <c r="J14" s="33">
        <v>44</v>
      </c>
      <c r="K14" s="22">
        <f t="shared" si="0"/>
        <v>1320</v>
      </c>
      <c r="L14" s="22">
        <f t="shared" si="1"/>
        <v>0</v>
      </c>
      <c r="M14" s="33"/>
      <c r="N14" s="106">
        <f t="shared" si="2"/>
        <v>0</v>
      </c>
      <c r="O14" s="106">
        <f t="shared" si="3"/>
        <v>0</v>
      </c>
      <c r="P14" s="38">
        <f t="shared" si="13"/>
        <v>235356</v>
      </c>
      <c r="Q14" s="37">
        <f t="shared" si="4"/>
        <v>188284.80000000002</v>
      </c>
      <c r="R14" s="38">
        <f t="shared" si="5"/>
        <v>152981.4</v>
      </c>
      <c r="S14" s="38">
        <f t="shared" si="6"/>
        <v>105910.2</v>
      </c>
      <c r="T14" s="23">
        <f t="shared" si="7"/>
        <v>7060680</v>
      </c>
      <c r="U14" s="23">
        <f t="shared" si="8"/>
        <v>0</v>
      </c>
      <c r="V14" s="23">
        <f t="shared" si="9"/>
        <v>0</v>
      </c>
      <c r="W14" s="23">
        <f t="shared" si="10"/>
        <v>0</v>
      </c>
      <c r="X14" s="23">
        <f t="shared" si="11"/>
        <v>5349</v>
      </c>
      <c r="Y14" s="23">
        <f t="shared" si="12"/>
        <v>7060680</v>
      </c>
    </row>
    <row r="15" spans="1:27" x14ac:dyDescent="0.25">
      <c r="A15" s="33" t="s">
        <v>182</v>
      </c>
      <c r="B15" s="33"/>
      <c r="C15" s="33"/>
      <c r="D15" s="33">
        <v>1</v>
      </c>
      <c r="E15" s="33">
        <v>15</v>
      </c>
      <c r="F15" s="33"/>
      <c r="G15" s="33"/>
      <c r="H15" s="33"/>
      <c r="I15" s="33"/>
      <c r="J15" s="33">
        <v>51</v>
      </c>
      <c r="K15" s="22">
        <f t="shared" si="0"/>
        <v>765</v>
      </c>
      <c r="L15" s="22">
        <f t="shared" si="1"/>
        <v>0</v>
      </c>
      <c r="M15" s="33"/>
      <c r="N15" s="106">
        <f t="shared" si="2"/>
        <v>0</v>
      </c>
      <c r="O15" s="106">
        <f t="shared" si="3"/>
        <v>0</v>
      </c>
      <c r="P15" s="38">
        <f t="shared" si="13"/>
        <v>272799</v>
      </c>
      <c r="Q15" s="37">
        <f t="shared" si="4"/>
        <v>218239.2</v>
      </c>
      <c r="R15" s="38">
        <f t="shared" si="5"/>
        <v>177319.35</v>
      </c>
      <c r="S15" s="38">
        <f t="shared" si="6"/>
        <v>122759.55</v>
      </c>
      <c r="T15" s="23">
        <f t="shared" si="7"/>
        <v>4091985</v>
      </c>
      <c r="U15" s="23">
        <f t="shared" si="8"/>
        <v>0</v>
      </c>
      <c r="V15" s="23">
        <f t="shared" si="9"/>
        <v>0</v>
      </c>
      <c r="W15" s="23">
        <f t="shared" si="10"/>
        <v>0</v>
      </c>
      <c r="X15" s="23">
        <f t="shared" si="11"/>
        <v>5349</v>
      </c>
      <c r="Y15" s="23">
        <f t="shared" si="12"/>
        <v>4091985</v>
      </c>
    </row>
    <row r="16" spans="1:27" x14ac:dyDescent="0.25">
      <c r="A16" s="33" t="s">
        <v>183</v>
      </c>
      <c r="B16" s="33"/>
      <c r="C16" s="33"/>
      <c r="D16" s="33">
        <v>2</v>
      </c>
      <c r="E16" s="33">
        <v>45</v>
      </c>
      <c r="F16" s="33"/>
      <c r="G16" s="33"/>
      <c r="H16" s="33"/>
      <c r="I16" s="33"/>
      <c r="J16" s="33">
        <v>72</v>
      </c>
      <c r="K16" s="22">
        <f t="shared" si="0"/>
        <v>3240</v>
      </c>
      <c r="L16" s="22">
        <f t="shared" si="1"/>
        <v>0</v>
      </c>
      <c r="M16" s="33"/>
      <c r="N16" s="106">
        <f t="shared" si="2"/>
        <v>0</v>
      </c>
      <c r="O16" s="106">
        <f t="shared" si="3"/>
        <v>0</v>
      </c>
      <c r="P16" s="38">
        <f t="shared" si="13"/>
        <v>385128</v>
      </c>
      <c r="Q16" s="37">
        <f t="shared" si="4"/>
        <v>308102.40000000002</v>
      </c>
      <c r="R16" s="38">
        <f t="shared" si="5"/>
        <v>250333.2</v>
      </c>
      <c r="S16" s="38">
        <f t="shared" si="6"/>
        <v>173307.6</v>
      </c>
      <c r="T16" s="23">
        <f t="shared" si="7"/>
        <v>17330760</v>
      </c>
      <c r="U16" s="23">
        <f t="shared" si="8"/>
        <v>0</v>
      </c>
      <c r="V16" s="23">
        <f t="shared" si="9"/>
        <v>0</v>
      </c>
      <c r="W16" s="23">
        <f t="shared" si="10"/>
        <v>0</v>
      </c>
      <c r="X16" s="23">
        <f t="shared" si="11"/>
        <v>5349</v>
      </c>
      <c r="Y16" s="23">
        <f t="shared" si="12"/>
        <v>17330760</v>
      </c>
    </row>
    <row r="17" spans="1:25" x14ac:dyDescent="0.25">
      <c r="A17" s="33" t="s">
        <v>184</v>
      </c>
      <c r="B17" s="33"/>
      <c r="C17" s="33"/>
      <c r="D17" s="33">
        <v>3</v>
      </c>
      <c r="E17" s="33">
        <v>0</v>
      </c>
      <c r="F17" s="33"/>
      <c r="G17" s="33"/>
      <c r="H17" s="33"/>
      <c r="I17" s="33"/>
      <c r="J17" s="33"/>
      <c r="K17" s="22">
        <f t="shared" si="0"/>
        <v>0</v>
      </c>
      <c r="L17" s="22">
        <f t="shared" si="1"/>
        <v>0</v>
      </c>
      <c r="M17" s="33"/>
      <c r="N17" s="106">
        <f t="shared" si="2"/>
        <v>0</v>
      </c>
      <c r="O17" s="106">
        <f t="shared" si="3"/>
        <v>0</v>
      </c>
      <c r="P17" s="38">
        <f t="shared" si="13"/>
        <v>0</v>
      </c>
      <c r="Q17" s="37">
        <f t="shared" si="4"/>
        <v>0</v>
      </c>
      <c r="R17" s="38">
        <f t="shared" si="5"/>
        <v>0</v>
      </c>
      <c r="S17" s="38">
        <f t="shared" si="6"/>
        <v>0</v>
      </c>
      <c r="T17" s="23">
        <f t="shared" si="7"/>
        <v>0</v>
      </c>
      <c r="U17" s="23">
        <f t="shared" si="8"/>
        <v>0</v>
      </c>
      <c r="V17" s="23">
        <f t="shared" si="9"/>
        <v>0</v>
      </c>
      <c r="W17" s="23">
        <f t="shared" si="10"/>
        <v>0</v>
      </c>
      <c r="X17" s="23" t="e">
        <f t="shared" si="11"/>
        <v>#DIV/0!</v>
      </c>
      <c r="Y17" s="23">
        <f t="shared" si="12"/>
        <v>0</v>
      </c>
    </row>
    <row r="18" spans="1:25" x14ac:dyDescent="0.25">
      <c r="A18" s="33" t="s">
        <v>186</v>
      </c>
      <c r="B18" s="33"/>
      <c r="C18" s="33"/>
      <c r="D18" s="33"/>
      <c r="E18" s="33"/>
      <c r="F18" s="33"/>
      <c r="G18" s="33"/>
      <c r="H18" s="33"/>
      <c r="I18" s="33"/>
      <c r="J18" s="33"/>
      <c r="K18" s="22">
        <f t="shared" si="0"/>
        <v>0</v>
      </c>
      <c r="L18" s="22">
        <f t="shared" si="1"/>
        <v>0</v>
      </c>
      <c r="M18" s="33"/>
      <c r="N18" s="106">
        <f t="shared" si="2"/>
        <v>0</v>
      </c>
      <c r="O18" s="106">
        <f t="shared" si="3"/>
        <v>0</v>
      </c>
      <c r="P18" s="38">
        <f t="shared" si="13"/>
        <v>0</v>
      </c>
      <c r="Q18" s="37">
        <f t="shared" si="4"/>
        <v>0</v>
      </c>
      <c r="R18" s="38">
        <f t="shared" si="5"/>
        <v>0</v>
      </c>
      <c r="S18" s="38">
        <f t="shared" si="6"/>
        <v>0</v>
      </c>
      <c r="T18" s="23">
        <f t="shared" si="7"/>
        <v>0</v>
      </c>
      <c r="U18" s="23">
        <f t="shared" si="8"/>
        <v>0</v>
      </c>
      <c r="V18" s="23">
        <f t="shared" si="9"/>
        <v>0</v>
      </c>
      <c r="W18" s="23">
        <f t="shared" si="10"/>
        <v>0</v>
      </c>
      <c r="X18" s="23" t="e">
        <f t="shared" si="11"/>
        <v>#DIV/0!</v>
      </c>
      <c r="Y18" s="23">
        <f t="shared" si="12"/>
        <v>0</v>
      </c>
    </row>
    <row r="19" spans="1:25" x14ac:dyDescent="0.25">
      <c r="A19" s="33" t="s">
        <v>187</v>
      </c>
      <c r="B19" s="33"/>
      <c r="C19" s="33"/>
      <c r="D19" s="33"/>
      <c r="E19" s="33"/>
      <c r="F19" s="33"/>
      <c r="G19" s="33"/>
      <c r="H19" s="33"/>
      <c r="I19" s="33"/>
      <c r="J19" s="33"/>
      <c r="K19" s="22">
        <f t="shared" si="0"/>
        <v>0</v>
      </c>
      <c r="L19" s="22">
        <f t="shared" si="1"/>
        <v>0</v>
      </c>
      <c r="M19" s="33"/>
      <c r="N19" s="106">
        <f t="shared" si="2"/>
        <v>0</v>
      </c>
      <c r="O19" s="106">
        <f t="shared" si="3"/>
        <v>0</v>
      </c>
      <c r="P19" s="38">
        <f t="shared" si="13"/>
        <v>0</v>
      </c>
      <c r="Q19" s="37">
        <f t="shared" si="4"/>
        <v>0</v>
      </c>
      <c r="R19" s="38">
        <f t="shared" si="5"/>
        <v>0</v>
      </c>
      <c r="S19" s="38">
        <f t="shared" si="6"/>
        <v>0</v>
      </c>
      <c r="T19" s="23">
        <f t="shared" si="7"/>
        <v>0</v>
      </c>
      <c r="U19" s="23">
        <f t="shared" si="8"/>
        <v>0</v>
      </c>
      <c r="V19" s="23">
        <f t="shared" si="9"/>
        <v>0</v>
      </c>
      <c r="W19" s="23">
        <f t="shared" si="10"/>
        <v>0</v>
      </c>
      <c r="X19" s="23" t="e">
        <f t="shared" si="11"/>
        <v>#DIV/0!</v>
      </c>
      <c r="Y19" s="23">
        <f t="shared" si="12"/>
        <v>0</v>
      </c>
    </row>
    <row r="20" spans="1:25" x14ac:dyDescent="0.25">
      <c r="A20" s="33" t="s">
        <v>181</v>
      </c>
      <c r="B20" s="33"/>
      <c r="C20" s="33"/>
      <c r="D20" s="33">
        <v>1</v>
      </c>
      <c r="E20" s="33">
        <v>14</v>
      </c>
      <c r="F20" s="33"/>
      <c r="G20" s="33"/>
      <c r="H20" s="33"/>
      <c r="I20" s="33"/>
      <c r="J20" s="33">
        <v>45</v>
      </c>
      <c r="K20" s="22">
        <f t="shared" si="0"/>
        <v>630</v>
      </c>
      <c r="L20" s="22">
        <f t="shared" si="1"/>
        <v>0</v>
      </c>
      <c r="M20" s="33"/>
      <c r="N20" s="106">
        <f t="shared" si="2"/>
        <v>0</v>
      </c>
      <c r="O20" s="106">
        <f t="shared" si="3"/>
        <v>0</v>
      </c>
      <c r="P20" s="38">
        <f t="shared" si="13"/>
        <v>240705</v>
      </c>
      <c r="Q20" s="37">
        <f t="shared" si="4"/>
        <v>192564</v>
      </c>
      <c r="R20" s="38">
        <f t="shared" si="5"/>
        <v>156458.25</v>
      </c>
      <c r="S20" s="38">
        <f t="shared" si="6"/>
        <v>108317.25</v>
      </c>
      <c r="T20" s="23">
        <f t="shared" si="7"/>
        <v>3369870</v>
      </c>
      <c r="U20" s="23">
        <f t="shared" si="8"/>
        <v>0</v>
      </c>
      <c r="V20" s="23">
        <f t="shared" si="9"/>
        <v>0</v>
      </c>
      <c r="W20" s="23">
        <f t="shared" si="10"/>
        <v>0</v>
      </c>
      <c r="X20" s="23">
        <f t="shared" si="11"/>
        <v>5349</v>
      </c>
      <c r="Y20" s="23">
        <f t="shared" si="12"/>
        <v>3369870</v>
      </c>
    </row>
    <row r="21" spans="1:25" x14ac:dyDescent="0.25">
      <c r="A21" s="33" t="s">
        <v>182</v>
      </c>
      <c r="B21" s="33"/>
      <c r="C21" s="33"/>
      <c r="D21" s="33">
        <v>1</v>
      </c>
      <c r="E21" s="33">
        <v>13</v>
      </c>
      <c r="F21" s="33"/>
      <c r="G21" s="33"/>
      <c r="H21" s="33"/>
      <c r="I21" s="33"/>
      <c r="J21" s="33">
        <v>50</v>
      </c>
      <c r="K21" s="22">
        <f t="shared" si="0"/>
        <v>650</v>
      </c>
      <c r="L21" s="22">
        <f t="shared" si="1"/>
        <v>0</v>
      </c>
      <c r="M21" s="33"/>
      <c r="N21" s="106">
        <f t="shared" si="2"/>
        <v>0</v>
      </c>
      <c r="O21" s="106">
        <f t="shared" si="3"/>
        <v>0</v>
      </c>
      <c r="P21" s="38">
        <f t="shared" si="13"/>
        <v>267450</v>
      </c>
      <c r="Q21" s="37">
        <f t="shared" si="4"/>
        <v>213960</v>
      </c>
      <c r="R21" s="38">
        <f t="shared" si="5"/>
        <v>173842.5</v>
      </c>
      <c r="S21" s="38">
        <f t="shared" si="6"/>
        <v>120352.5</v>
      </c>
      <c r="T21" s="23">
        <f t="shared" si="7"/>
        <v>3476850</v>
      </c>
      <c r="U21" s="23">
        <f t="shared" si="8"/>
        <v>0</v>
      </c>
      <c r="V21" s="23">
        <f t="shared" si="9"/>
        <v>0</v>
      </c>
      <c r="W21" s="23">
        <f t="shared" si="10"/>
        <v>0</v>
      </c>
      <c r="X21" s="23">
        <f t="shared" si="11"/>
        <v>5349</v>
      </c>
      <c r="Y21" s="23">
        <f t="shared" si="12"/>
        <v>3476850</v>
      </c>
    </row>
    <row r="22" spans="1:25" x14ac:dyDescent="0.25">
      <c r="A22" s="33" t="s">
        <v>183</v>
      </c>
      <c r="B22" s="33"/>
      <c r="C22" s="33"/>
      <c r="D22" s="33">
        <v>2</v>
      </c>
      <c r="E22" s="33">
        <v>46</v>
      </c>
      <c r="F22" s="33"/>
      <c r="G22" s="33"/>
      <c r="H22" s="33"/>
      <c r="I22" s="33"/>
      <c r="J22" s="33">
        <v>70</v>
      </c>
      <c r="K22" s="22">
        <f t="shared" si="0"/>
        <v>3220</v>
      </c>
      <c r="L22" s="22">
        <f t="shared" si="1"/>
        <v>0</v>
      </c>
      <c r="M22" s="33"/>
      <c r="N22" s="106">
        <f t="shared" si="2"/>
        <v>0</v>
      </c>
      <c r="O22" s="106">
        <f t="shared" si="3"/>
        <v>0</v>
      </c>
      <c r="P22" s="38">
        <f t="shared" si="13"/>
        <v>374430</v>
      </c>
      <c r="Q22" s="37">
        <f t="shared" si="4"/>
        <v>299544</v>
      </c>
      <c r="R22" s="38">
        <f t="shared" si="5"/>
        <v>243379.5</v>
      </c>
      <c r="S22" s="38">
        <f t="shared" si="6"/>
        <v>168493.5</v>
      </c>
      <c r="T22" s="23">
        <f t="shared" si="7"/>
        <v>17223780</v>
      </c>
      <c r="U22" s="23">
        <f t="shared" si="8"/>
        <v>0</v>
      </c>
      <c r="V22" s="23">
        <f t="shared" si="9"/>
        <v>0</v>
      </c>
      <c r="W22" s="23">
        <f t="shared" si="10"/>
        <v>0</v>
      </c>
      <c r="X22" s="23">
        <f t="shared" si="11"/>
        <v>5349</v>
      </c>
      <c r="Y22" s="23">
        <f t="shared" si="12"/>
        <v>17223780</v>
      </c>
    </row>
    <row r="23" spans="1:25" x14ac:dyDescent="0.25">
      <c r="A23" s="33" t="s">
        <v>184</v>
      </c>
      <c r="B23" s="33"/>
      <c r="C23" s="33"/>
      <c r="D23" s="33">
        <v>3</v>
      </c>
      <c r="E23" s="33">
        <v>7</v>
      </c>
      <c r="F23" s="33"/>
      <c r="G23" s="33"/>
      <c r="H23" s="33"/>
      <c r="I23" s="33"/>
      <c r="J23" s="33">
        <v>98</v>
      </c>
      <c r="K23" s="22">
        <f t="shared" si="0"/>
        <v>686</v>
      </c>
      <c r="L23" s="22">
        <f t="shared" si="1"/>
        <v>0</v>
      </c>
      <c r="M23" s="33"/>
      <c r="N23" s="106">
        <f t="shared" si="2"/>
        <v>0</v>
      </c>
      <c r="O23" s="106">
        <f t="shared" si="3"/>
        <v>0</v>
      </c>
      <c r="P23" s="38">
        <f t="shared" si="13"/>
        <v>524202</v>
      </c>
      <c r="Q23" s="37">
        <f t="shared" si="4"/>
        <v>419361.60000000003</v>
      </c>
      <c r="R23" s="38">
        <f t="shared" si="5"/>
        <v>340731.3</v>
      </c>
      <c r="S23" s="38">
        <f t="shared" si="6"/>
        <v>235890.9</v>
      </c>
      <c r="T23" s="23">
        <f t="shared" si="7"/>
        <v>3669414</v>
      </c>
      <c r="U23" s="23">
        <f t="shared" si="8"/>
        <v>0</v>
      </c>
      <c r="V23" s="23">
        <f t="shared" si="9"/>
        <v>0</v>
      </c>
      <c r="W23" s="23">
        <f t="shared" si="10"/>
        <v>0</v>
      </c>
      <c r="X23" s="23">
        <f t="shared" si="11"/>
        <v>5349</v>
      </c>
      <c r="Y23" s="23">
        <f t="shared" si="12"/>
        <v>3669414</v>
      </c>
    </row>
    <row r="24" spans="1:25" x14ac:dyDescent="0.25">
      <c r="A24" s="33" t="s">
        <v>186</v>
      </c>
      <c r="B24" s="33"/>
      <c r="C24" s="33"/>
      <c r="D24" s="33"/>
      <c r="E24" s="33"/>
      <c r="F24" s="33"/>
      <c r="G24" s="33"/>
      <c r="H24" s="33"/>
      <c r="I24" s="33"/>
      <c r="J24" s="33"/>
      <c r="K24" s="22">
        <f t="shared" si="0"/>
        <v>0</v>
      </c>
      <c r="L24" s="22">
        <f t="shared" si="1"/>
        <v>0</v>
      </c>
      <c r="M24" s="33"/>
      <c r="N24" s="106">
        <f t="shared" si="2"/>
        <v>0</v>
      </c>
      <c r="O24" s="106">
        <f t="shared" si="3"/>
        <v>0</v>
      </c>
      <c r="P24" s="38">
        <f t="shared" si="13"/>
        <v>0</v>
      </c>
      <c r="Q24" s="37">
        <f t="shared" si="4"/>
        <v>0</v>
      </c>
      <c r="R24" s="38">
        <f t="shared" si="5"/>
        <v>0</v>
      </c>
      <c r="S24" s="38">
        <f t="shared" si="6"/>
        <v>0</v>
      </c>
      <c r="T24" s="23">
        <f t="shared" si="7"/>
        <v>0</v>
      </c>
      <c r="U24" s="23">
        <f t="shared" si="8"/>
        <v>0</v>
      </c>
      <c r="V24" s="23">
        <f t="shared" si="9"/>
        <v>0</v>
      </c>
      <c r="W24" s="23">
        <f t="shared" si="10"/>
        <v>0</v>
      </c>
      <c r="X24" s="23" t="e">
        <f t="shared" si="11"/>
        <v>#DIV/0!</v>
      </c>
      <c r="Y24" s="23">
        <f t="shared" si="12"/>
        <v>0</v>
      </c>
    </row>
    <row r="25" spans="1:25" x14ac:dyDescent="0.25">
      <c r="A25" s="33" t="s">
        <v>188</v>
      </c>
      <c r="B25" s="33"/>
      <c r="C25" s="33"/>
      <c r="D25" s="33"/>
      <c r="E25" s="33"/>
      <c r="F25" s="33"/>
      <c r="G25" s="33"/>
      <c r="H25" s="33"/>
      <c r="I25" s="33"/>
      <c r="J25" s="33"/>
      <c r="K25" s="22">
        <f t="shared" si="0"/>
        <v>0</v>
      </c>
      <c r="L25" s="22">
        <f t="shared" si="1"/>
        <v>0</v>
      </c>
      <c r="M25" s="33"/>
      <c r="N25" s="106">
        <f t="shared" si="2"/>
        <v>0</v>
      </c>
      <c r="O25" s="106">
        <f t="shared" si="3"/>
        <v>0</v>
      </c>
      <c r="P25" s="38">
        <f t="shared" si="13"/>
        <v>0</v>
      </c>
      <c r="Q25" s="37">
        <f t="shared" si="4"/>
        <v>0</v>
      </c>
      <c r="R25" s="38">
        <f t="shared" si="5"/>
        <v>0</v>
      </c>
      <c r="S25" s="38">
        <f t="shared" si="6"/>
        <v>0</v>
      </c>
      <c r="T25" s="23">
        <f t="shared" si="7"/>
        <v>0</v>
      </c>
      <c r="U25" s="23">
        <f t="shared" si="8"/>
        <v>0</v>
      </c>
      <c r="V25" s="23">
        <f t="shared" si="9"/>
        <v>0</v>
      </c>
      <c r="W25" s="23">
        <f t="shared" si="10"/>
        <v>0</v>
      </c>
      <c r="X25" s="23" t="e">
        <f t="shared" si="11"/>
        <v>#DIV/0!</v>
      </c>
      <c r="Y25" s="23">
        <f t="shared" si="12"/>
        <v>0</v>
      </c>
    </row>
    <row r="26" spans="1:25" x14ac:dyDescent="0.25">
      <c r="A26" s="33" t="s">
        <v>181</v>
      </c>
      <c r="B26" s="33"/>
      <c r="C26" s="33"/>
      <c r="D26" s="33">
        <v>1</v>
      </c>
      <c r="E26" s="33">
        <v>3</v>
      </c>
      <c r="F26" s="33"/>
      <c r="G26" s="33"/>
      <c r="H26" s="33"/>
      <c r="I26" s="33"/>
      <c r="J26" s="33">
        <v>40</v>
      </c>
      <c r="K26" s="22">
        <f t="shared" si="0"/>
        <v>120</v>
      </c>
      <c r="L26" s="22">
        <f t="shared" si="1"/>
        <v>0</v>
      </c>
      <c r="M26" s="33"/>
      <c r="N26" s="106">
        <f t="shared" si="2"/>
        <v>0</v>
      </c>
      <c r="O26" s="106">
        <f t="shared" si="3"/>
        <v>0</v>
      </c>
      <c r="P26" s="38">
        <f t="shared" si="13"/>
        <v>213960</v>
      </c>
      <c r="Q26" s="37">
        <f t="shared" si="4"/>
        <v>171168</v>
      </c>
      <c r="R26" s="38">
        <f t="shared" si="5"/>
        <v>139074</v>
      </c>
      <c r="S26" s="38">
        <f t="shared" si="6"/>
        <v>96282</v>
      </c>
      <c r="T26" s="23">
        <f t="shared" si="7"/>
        <v>641880</v>
      </c>
      <c r="U26" s="23">
        <f t="shared" si="8"/>
        <v>0</v>
      </c>
      <c r="V26" s="23">
        <f t="shared" si="9"/>
        <v>0</v>
      </c>
      <c r="W26" s="23">
        <f t="shared" si="10"/>
        <v>0</v>
      </c>
      <c r="X26" s="23">
        <f t="shared" si="11"/>
        <v>5349</v>
      </c>
      <c r="Y26" s="23">
        <f t="shared" si="12"/>
        <v>641880</v>
      </c>
    </row>
    <row r="27" spans="1:25" x14ac:dyDescent="0.25">
      <c r="A27" s="33" t="s">
        <v>182</v>
      </c>
      <c r="B27" s="33"/>
      <c r="C27" s="33"/>
      <c r="D27" s="33">
        <v>1</v>
      </c>
      <c r="E27" s="33">
        <v>49</v>
      </c>
      <c r="F27" s="33"/>
      <c r="G27" s="33"/>
      <c r="H27" s="33"/>
      <c r="I27" s="33"/>
      <c r="J27" s="33">
        <v>51</v>
      </c>
      <c r="K27" s="22">
        <f t="shared" si="0"/>
        <v>2499</v>
      </c>
      <c r="L27" s="22">
        <f t="shared" si="1"/>
        <v>0</v>
      </c>
      <c r="M27" s="33"/>
      <c r="N27" s="106">
        <f t="shared" si="2"/>
        <v>0</v>
      </c>
      <c r="O27" s="106">
        <f t="shared" si="3"/>
        <v>0</v>
      </c>
      <c r="P27" s="38">
        <f t="shared" si="13"/>
        <v>272799</v>
      </c>
      <c r="Q27" s="37">
        <f t="shared" si="4"/>
        <v>218239.2</v>
      </c>
      <c r="R27" s="38">
        <f t="shared" si="5"/>
        <v>177319.35</v>
      </c>
      <c r="S27" s="38">
        <f t="shared" si="6"/>
        <v>122759.55</v>
      </c>
      <c r="T27" s="23">
        <f t="shared" si="7"/>
        <v>13367151</v>
      </c>
      <c r="U27" s="23">
        <f t="shared" si="8"/>
        <v>0</v>
      </c>
      <c r="V27" s="23">
        <f t="shared" si="9"/>
        <v>0</v>
      </c>
      <c r="W27" s="23">
        <f t="shared" si="10"/>
        <v>0</v>
      </c>
      <c r="X27" s="23">
        <f t="shared" si="11"/>
        <v>5349</v>
      </c>
      <c r="Y27" s="23">
        <f t="shared" si="12"/>
        <v>13367151</v>
      </c>
    </row>
    <row r="28" spans="1:25" x14ac:dyDescent="0.25">
      <c r="A28" s="33" t="s">
        <v>183</v>
      </c>
      <c r="B28" s="33"/>
      <c r="C28" s="33"/>
      <c r="D28" s="33">
        <v>2</v>
      </c>
      <c r="E28" s="33">
        <v>35</v>
      </c>
      <c r="F28" s="33"/>
      <c r="G28" s="33"/>
      <c r="H28" s="33"/>
      <c r="I28" s="33"/>
      <c r="J28" s="33">
        <v>70</v>
      </c>
      <c r="K28" s="22">
        <f t="shared" si="0"/>
        <v>2450</v>
      </c>
      <c r="L28" s="22">
        <f t="shared" si="1"/>
        <v>0</v>
      </c>
      <c r="M28" s="33"/>
      <c r="N28" s="106">
        <f t="shared" si="2"/>
        <v>0</v>
      </c>
      <c r="O28" s="106">
        <f t="shared" si="3"/>
        <v>0</v>
      </c>
      <c r="P28" s="38">
        <f t="shared" si="13"/>
        <v>374430</v>
      </c>
      <c r="Q28" s="37">
        <f t="shared" si="4"/>
        <v>299544</v>
      </c>
      <c r="R28" s="38">
        <f t="shared" si="5"/>
        <v>243379.5</v>
      </c>
      <c r="S28" s="38">
        <f t="shared" si="6"/>
        <v>168493.5</v>
      </c>
      <c r="T28" s="23">
        <f t="shared" si="7"/>
        <v>13105050</v>
      </c>
      <c r="U28" s="23">
        <f t="shared" si="8"/>
        <v>0</v>
      </c>
      <c r="V28" s="23">
        <f t="shared" si="9"/>
        <v>0</v>
      </c>
      <c r="W28" s="23">
        <f t="shared" si="10"/>
        <v>0</v>
      </c>
      <c r="X28" s="23">
        <f t="shared" si="11"/>
        <v>5349</v>
      </c>
      <c r="Y28" s="23">
        <f t="shared" si="12"/>
        <v>13105050</v>
      </c>
    </row>
    <row r="29" spans="1:25" x14ac:dyDescent="0.25">
      <c r="A29" s="33" t="s">
        <v>184</v>
      </c>
      <c r="B29" s="33"/>
      <c r="C29" s="33"/>
      <c r="D29" s="33">
        <v>3</v>
      </c>
      <c r="E29" s="33">
        <v>2</v>
      </c>
      <c r="F29" s="33"/>
      <c r="G29" s="33"/>
      <c r="H29" s="33"/>
      <c r="I29" s="33"/>
      <c r="J29" s="33">
        <v>78</v>
      </c>
      <c r="K29" s="22">
        <f t="shared" si="0"/>
        <v>156</v>
      </c>
      <c r="L29" s="22">
        <f t="shared" si="1"/>
        <v>0</v>
      </c>
      <c r="M29" s="33"/>
      <c r="N29" s="106">
        <f t="shared" si="2"/>
        <v>0</v>
      </c>
      <c r="O29" s="106">
        <f t="shared" si="3"/>
        <v>0</v>
      </c>
      <c r="P29" s="38">
        <f t="shared" si="13"/>
        <v>417222</v>
      </c>
      <c r="Q29" s="37">
        <f t="shared" si="4"/>
        <v>333777.60000000003</v>
      </c>
      <c r="R29" s="38">
        <f t="shared" si="5"/>
        <v>271194.3</v>
      </c>
      <c r="S29" s="38">
        <f t="shared" si="6"/>
        <v>187749.9</v>
      </c>
      <c r="T29" s="23">
        <f t="shared" si="7"/>
        <v>834444</v>
      </c>
      <c r="U29" s="23">
        <f t="shared" si="8"/>
        <v>0</v>
      </c>
      <c r="V29" s="23">
        <f t="shared" si="9"/>
        <v>0</v>
      </c>
      <c r="W29" s="23">
        <f t="shared" si="10"/>
        <v>0</v>
      </c>
      <c r="X29" s="23">
        <f t="shared" si="11"/>
        <v>5349</v>
      </c>
      <c r="Y29" s="23">
        <f t="shared" si="12"/>
        <v>834444</v>
      </c>
    </row>
    <row r="30" spans="1:25" x14ac:dyDescent="0.25">
      <c r="A30" s="33" t="s">
        <v>186</v>
      </c>
      <c r="B30" s="33"/>
      <c r="C30" s="33"/>
      <c r="D30" s="33"/>
      <c r="E30" s="33"/>
      <c r="F30" s="33"/>
      <c r="G30" s="33"/>
      <c r="H30" s="33"/>
      <c r="I30" s="33"/>
      <c r="J30" s="33"/>
      <c r="K30" s="22">
        <f t="shared" si="0"/>
        <v>0</v>
      </c>
      <c r="L30" s="22">
        <f t="shared" si="1"/>
        <v>0</v>
      </c>
      <c r="M30" s="33"/>
      <c r="N30" s="106">
        <f t="shared" si="2"/>
        <v>0</v>
      </c>
      <c r="O30" s="106">
        <f t="shared" si="3"/>
        <v>0</v>
      </c>
      <c r="P30" s="38">
        <f t="shared" si="13"/>
        <v>0</v>
      </c>
      <c r="Q30" s="37">
        <f t="shared" si="4"/>
        <v>0</v>
      </c>
      <c r="R30" s="38">
        <f t="shared" si="5"/>
        <v>0</v>
      </c>
      <c r="S30" s="38">
        <f t="shared" si="6"/>
        <v>0</v>
      </c>
      <c r="T30" s="23">
        <f t="shared" si="7"/>
        <v>0</v>
      </c>
      <c r="U30" s="23">
        <f t="shared" si="8"/>
        <v>0</v>
      </c>
      <c r="V30" s="23">
        <f t="shared" si="9"/>
        <v>0</v>
      </c>
      <c r="W30" s="23">
        <f t="shared" si="10"/>
        <v>0</v>
      </c>
      <c r="X30" s="23" t="e">
        <f t="shared" si="11"/>
        <v>#DIV/0!</v>
      </c>
      <c r="Y30" s="23">
        <f t="shared" si="12"/>
        <v>0</v>
      </c>
    </row>
    <row r="31" spans="1:25" x14ac:dyDescent="0.25">
      <c r="A31" s="33" t="s">
        <v>189</v>
      </c>
      <c r="B31" s="33"/>
      <c r="C31" s="33"/>
      <c r="D31" s="33"/>
      <c r="E31" s="33"/>
      <c r="F31" s="33"/>
      <c r="G31" s="33"/>
      <c r="H31" s="33"/>
      <c r="I31" s="33"/>
      <c r="J31" s="33"/>
      <c r="K31" s="22">
        <f t="shared" si="0"/>
        <v>0</v>
      </c>
      <c r="L31" s="22">
        <f t="shared" si="1"/>
        <v>0</v>
      </c>
      <c r="M31" s="33"/>
      <c r="N31" s="106">
        <f t="shared" si="2"/>
        <v>0</v>
      </c>
      <c r="O31" s="106">
        <f t="shared" si="3"/>
        <v>0</v>
      </c>
      <c r="P31" s="38">
        <f t="shared" si="13"/>
        <v>0</v>
      </c>
      <c r="Q31" s="37">
        <f t="shared" si="4"/>
        <v>0</v>
      </c>
      <c r="R31" s="38">
        <f t="shared" si="5"/>
        <v>0</v>
      </c>
      <c r="S31" s="38">
        <f t="shared" si="6"/>
        <v>0</v>
      </c>
      <c r="T31" s="23">
        <f t="shared" si="7"/>
        <v>0</v>
      </c>
      <c r="U31" s="23">
        <f t="shared" si="8"/>
        <v>0</v>
      </c>
      <c r="V31" s="23">
        <f t="shared" si="9"/>
        <v>0</v>
      </c>
      <c r="W31" s="23">
        <f t="shared" si="10"/>
        <v>0</v>
      </c>
      <c r="X31" s="23" t="e">
        <f t="shared" si="11"/>
        <v>#DIV/0!</v>
      </c>
      <c r="Y31" s="23">
        <f t="shared" si="12"/>
        <v>0</v>
      </c>
    </row>
    <row r="32" spans="1:25" x14ac:dyDescent="0.25">
      <c r="A32" s="33" t="s">
        <v>181</v>
      </c>
      <c r="B32" s="33"/>
      <c r="C32" s="33"/>
      <c r="D32" s="33">
        <v>1</v>
      </c>
      <c r="E32" s="33">
        <v>13</v>
      </c>
      <c r="F32" s="33"/>
      <c r="G32" s="33"/>
      <c r="H32" s="33"/>
      <c r="I32" s="33"/>
      <c r="J32" s="33">
        <v>45</v>
      </c>
      <c r="K32" s="22">
        <f t="shared" si="0"/>
        <v>585</v>
      </c>
      <c r="L32" s="22">
        <f t="shared" si="1"/>
        <v>0</v>
      </c>
      <c r="M32" s="33"/>
      <c r="N32" s="106">
        <f t="shared" si="2"/>
        <v>0</v>
      </c>
      <c r="O32" s="106">
        <f t="shared" si="3"/>
        <v>0</v>
      </c>
      <c r="P32" s="38">
        <f t="shared" si="13"/>
        <v>240705</v>
      </c>
      <c r="Q32" s="37">
        <f t="shared" si="4"/>
        <v>192564</v>
      </c>
      <c r="R32" s="38">
        <f t="shared" si="5"/>
        <v>156458.25</v>
      </c>
      <c r="S32" s="38">
        <f t="shared" si="6"/>
        <v>108317.25</v>
      </c>
      <c r="T32" s="23">
        <f t="shared" si="7"/>
        <v>3129165</v>
      </c>
      <c r="U32" s="23">
        <f t="shared" si="8"/>
        <v>0</v>
      </c>
      <c r="V32" s="23">
        <f t="shared" si="9"/>
        <v>0</v>
      </c>
      <c r="W32" s="23">
        <f t="shared" si="10"/>
        <v>0</v>
      </c>
      <c r="X32" s="23">
        <f t="shared" si="11"/>
        <v>5349</v>
      </c>
      <c r="Y32" s="23">
        <f t="shared" si="12"/>
        <v>3129165</v>
      </c>
    </row>
    <row r="33" spans="1:26" x14ac:dyDescent="0.25">
      <c r="A33" s="33" t="s">
        <v>182</v>
      </c>
      <c r="B33" s="33"/>
      <c r="C33" s="33"/>
      <c r="D33" s="33">
        <v>1</v>
      </c>
      <c r="E33" s="33">
        <v>12</v>
      </c>
      <c r="F33" s="33"/>
      <c r="G33" s="33"/>
      <c r="H33" s="33"/>
      <c r="I33" s="33"/>
      <c r="J33" s="33">
        <v>50</v>
      </c>
      <c r="K33" s="22">
        <f t="shared" si="0"/>
        <v>600</v>
      </c>
      <c r="L33" s="22">
        <f t="shared" si="1"/>
        <v>0</v>
      </c>
      <c r="M33" s="33"/>
      <c r="N33" s="106">
        <f t="shared" si="2"/>
        <v>0</v>
      </c>
      <c r="O33" s="106">
        <f t="shared" si="3"/>
        <v>0</v>
      </c>
      <c r="P33" s="38">
        <f t="shared" si="13"/>
        <v>267450</v>
      </c>
      <c r="Q33" s="37">
        <f t="shared" si="4"/>
        <v>213960</v>
      </c>
      <c r="R33" s="38">
        <f t="shared" si="5"/>
        <v>173842.5</v>
      </c>
      <c r="S33" s="38">
        <f t="shared" si="6"/>
        <v>120352.5</v>
      </c>
      <c r="T33" s="23">
        <f t="shared" si="7"/>
        <v>3209400</v>
      </c>
      <c r="U33" s="23">
        <f t="shared" si="8"/>
        <v>0</v>
      </c>
      <c r="V33" s="23">
        <f t="shared" si="9"/>
        <v>0</v>
      </c>
      <c r="W33" s="23">
        <f t="shared" si="10"/>
        <v>0</v>
      </c>
      <c r="X33" s="23">
        <f t="shared" si="11"/>
        <v>5349</v>
      </c>
      <c r="Y33" s="23">
        <f t="shared" si="12"/>
        <v>3209400</v>
      </c>
    </row>
    <row r="34" spans="1:26" x14ac:dyDescent="0.25">
      <c r="A34" s="33" t="s">
        <v>183</v>
      </c>
      <c r="B34" s="33"/>
      <c r="C34" s="33"/>
      <c r="D34" s="33">
        <v>2</v>
      </c>
      <c r="E34" s="33">
        <v>42</v>
      </c>
      <c r="F34" s="33"/>
      <c r="G34" s="33"/>
      <c r="H34" s="33"/>
      <c r="I34" s="33"/>
      <c r="J34" s="33">
        <v>70</v>
      </c>
      <c r="K34" s="22">
        <f t="shared" si="0"/>
        <v>2940</v>
      </c>
      <c r="L34" s="22">
        <f t="shared" si="1"/>
        <v>0</v>
      </c>
      <c r="M34" s="33"/>
      <c r="N34" s="106">
        <f t="shared" si="2"/>
        <v>0</v>
      </c>
      <c r="O34" s="106">
        <f t="shared" si="3"/>
        <v>0</v>
      </c>
      <c r="P34" s="38">
        <f t="shared" si="13"/>
        <v>374430</v>
      </c>
      <c r="Q34" s="37">
        <f t="shared" si="4"/>
        <v>299544</v>
      </c>
      <c r="R34" s="38">
        <f t="shared" si="5"/>
        <v>243379.5</v>
      </c>
      <c r="S34" s="38">
        <f t="shared" si="6"/>
        <v>168493.5</v>
      </c>
      <c r="T34" s="23">
        <f t="shared" si="7"/>
        <v>15726060</v>
      </c>
      <c r="U34" s="23">
        <f t="shared" si="8"/>
        <v>0</v>
      </c>
      <c r="V34" s="23">
        <f t="shared" si="9"/>
        <v>0</v>
      </c>
      <c r="W34" s="23">
        <f t="shared" si="10"/>
        <v>0</v>
      </c>
      <c r="X34" s="23">
        <f t="shared" si="11"/>
        <v>5349</v>
      </c>
      <c r="Y34" s="23">
        <f t="shared" si="12"/>
        <v>15726060</v>
      </c>
    </row>
    <row r="35" spans="1:26" x14ac:dyDescent="0.25">
      <c r="A35" s="33" t="s">
        <v>184</v>
      </c>
      <c r="B35" s="33"/>
      <c r="C35" s="33"/>
      <c r="D35" s="33">
        <v>3</v>
      </c>
      <c r="E35" s="33">
        <v>6</v>
      </c>
      <c r="F35" s="33"/>
      <c r="G35" s="33"/>
      <c r="H35" s="33"/>
      <c r="I35" s="33"/>
      <c r="J35" s="33">
        <v>99</v>
      </c>
      <c r="K35" s="22">
        <f t="shared" si="0"/>
        <v>594</v>
      </c>
      <c r="L35" s="22">
        <f t="shared" si="1"/>
        <v>0</v>
      </c>
      <c r="M35" s="33"/>
      <c r="N35" s="106">
        <f t="shared" si="2"/>
        <v>0</v>
      </c>
      <c r="O35" s="106">
        <f t="shared" si="3"/>
        <v>0</v>
      </c>
      <c r="P35" s="38">
        <f t="shared" si="13"/>
        <v>529551</v>
      </c>
      <c r="Q35" s="37">
        <f t="shared" si="4"/>
        <v>423640.80000000005</v>
      </c>
      <c r="R35" s="38">
        <f t="shared" si="5"/>
        <v>344208.15</v>
      </c>
      <c r="S35" s="38">
        <f t="shared" si="6"/>
        <v>238297.95</v>
      </c>
      <c r="T35" s="23">
        <f t="shared" si="7"/>
        <v>3177306</v>
      </c>
      <c r="U35" s="23">
        <f t="shared" si="8"/>
        <v>0</v>
      </c>
      <c r="V35" s="23">
        <f t="shared" si="9"/>
        <v>0</v>
      </c>
      <c r="W35" s="23">
        <f t="shared" si="10"/>
        <v>0</v>
      </c>
      <c r="X35" s="23">
        <f t="shared" si="11"/>
        <v>5349</v>
      </c>
      <c r="Y35" s="23">
        <f t="shared" si="12"/>
        <v>3177306</v>
      </c>
    </row>
    <row r="36" spans="1:26" x14ac:dyDescent="0.25">
      <c r="A36" s="33" t="s">
        <v>186</v>
      </c>
      <c r="B36" s="33"/>
      <c r="C36" s="33"/>
      <c r="D36" s="33"/>
      <c r="E36" s="33"/>
      <c r="F36" s="33"/>
      <c r="G36" s="33"/>
      <c r="H36" s="33"/>
      <c r="I36" s="33"/>
      <c r="J36" s="33"/>
      <c r="K36" s="22">
        <f t="shared" si="0"/>
        <v>0</v>
      </c>
      <c r="L36" s="22">
        <f t="shared" si="1"/>
        <v>0</v>
      </c>
      <c r="M36" s="33"/>
      <c r="N36" s="106">
        <f t="shared" si="2"/>
        <v>0</v>
      </c>
      <c r="O36" s="106">
        <f t="shared" si="3"/>
        <v>0</v>
      </c>
      <c r="P36" s="38">
        <f t="shared" si="13"/>
        <v>0</v>
      </c>
      <c r="Q36" s="37">
        <f t="shared" si="4"/>
        <v>0</v>
      </c>
      <c r="R36" s="38">
        <f t="shared" si="5"/>
        <v>0</v>
      </c>
      <c r="S36" s="38">
        <f t="shared" si="6"/>
        <v>0</v>
      </c>
      <c r="T36" s="23">
        <f t="shared" si="7"/>
        <v>0</v>
      </c>
      <c r="U36" s="23">
        <f t="shared" si="8"/>
        <v>0</v>
      </c>
      <c r="V36" s="23">
        <f t="shared" si="9"/>
        <v>0</v>
      </c>
      <c r="W36" s="23">
        <f t="shared" si="10"/>
        <v>0</v>
      </c>
      <c r="X36" s="23" t="e">
        <f t="shared" si="11"/>
        <v>#DIV/0!</v>
      </c>
      <c r="Y36" s="23">
        <f t="shared" si="12"/>
        <v>0</v>
      </c>
    </row>
    <row r="37" spans="1:26" x14ac:dyDescent="0.25">
      <c r="A37" s="33" t="s">
        <v>190</v>
      </c>
      <c r="B37" s="33"/>
      <c r="C37" s="33"/>
      <c r="D37" s="33"/>
      <c r="E37" s="33"/>
      <c r="F37" s="33"/>
      <c r="G37" s="33"/>
      <c r="H37" s="33"/>
      <c r="I37" s="33"/>
      <c r="J37" s="33"/>
      <c r="K37" s="22">
        <f t="shared" si="0"/>
        <v>0</v>
      </c>
      <c r="L37" s="22">
        <f t="shared" si="1"/>
        <v>0</v>
      </c>
      <c r="M37" s="33"/>
      <c r="N37" s="106">
        <f t="shared" si="2"/>
        <v>0</v>
      </c>
      <c r="O37" s="106">
        <f t="shared" si="3"/>
        <v>0</v>
      </c>
      <c r="P37" s="38">
        <f t="shared" si="13"/>
        <v>0</v>
      </c>
      <c r="Q37" s="37">
        <f t="shared" si="4"/>
        <v>0</v>
      </c>
      <c r="R37" s="38">
        <f t="shared" si="5"/>
        <v>0</v>
      </c>
      <c r="S37" s="38">
        <f t="shared" si="6"/>
        <v>0</v>
      </c>
      <c r="T37" s="23">
        <f t="shared" si="7"/>
        <v>0</v>
      </c>
      <c r="U37" s="23">
        <f t="shared" si="8"/>
        <v>0</v>
      </c>
      <c r="V37" s="23">
        <f t="shared" si="9"/>
        <v>0</v>
      </c>
      <c r="W37" s="23">
        <f t="shared" si="10"/>
        <v>0</v>
      </c>
      <c r="X37" s="23" t="e">
        <f t="shared" si="11"/>
        <v>#DIV/0!</v>
      </c>
      <c r="Y37" s="23">
        <f t="shared" si="12"/>
        <v>0</v>
      </c>
    </row>
    <row r="38" spans="1:26" x14ac:dyDescent="0.25">
      <c r="A38" s="33" t="s">
        <v>181</v>
      </c>
      <c r="B38" s="33"/>
      <c r="C38" s="33"/>
      <c r="D38" s="33">
        <v>1</v>
      </c>
      <c r="E38" s="33">
        <v>2</v>
      </c>
      <c r="F38" s="33"/>
      <c r="G38" s="33"/>
      <c r="H38" s="33"/>
      <c r="I38" s="33"/>
      <c r="J38" s="33">
        <v>42</v>
      </c>
      <c r="K38" s="22">
        <f t="shared" si="0"/>
        <v>84</v>
      </c>
      <c r="L38" s="22">
        <f t="shared" si="1"/>
        <v>0</v>
      </c>
      <c r="M38" s="33"/>
      <c r="N38" s="106">
        <f t="shared" si="2"/>
        <v>0</v>
      </c>
      <c r="O38" s="106">
        <f t="shared" si="3"/>
        <v>0</v>
      </c>
      <c r="P38" s="38">
        <f t="shared" si="13"/>
        <v>224658</v>
      </c>
      <c r="Q38" s="37">
        <f t="shared" si="4"/>
        <v>179726.40000000002</v>
      </c>
      <c r="R38" s="38">
        <f t="shared" si="5"/>
        <v>146027.70000000001</v>
      </c>
      <c r="S38" s="38">
        <f t="shared" si="6"/>
        <v>101096.1</v>
      </c>
      <c r="T38" s="23">
        <f t="shared" si="7"/>
        <v>449316</v>
      </c>
      <c r="U38" s="23">
        <f t="shared" si="8"/>
        <v>0</v>
      </c>
      <c r="V38" s="23">
        <f t="shared" si="9"/>
        <v>0</v>
      </c>
      <c r="W38" s="23">
        <f t="shared" si="10"/>
        <v>0</v>
      </c>
      <c r="X38" s="23">
        <f t="shared" si="11"/>
        <v>5349</v>
      </c>
      <c r="Y38" s="23">
        <f t="shared" si="12"/>
        <v>449316</v>
      </c>
    </row>
    <row r="39" spans="1:26" x14ac:dyDescent="0.25">
      <c r="A39" s="33" t="s">
        <v>182</v>
      </c>
      <c r="B39" s="33"/>
      <c r="C39" s="33"/>
      <c r="D39" s="33">
        <v>1</v>
      </c>
      <c r="E39" s="33">
        <v>9</v>
      </c>
      <c r="F39" s="33"/>
      <c r="G39" s="33"/>
      <c r="H39" s="33"/>
      <c r="I39" s="33"/>
      <c r="J39" s="33">
        <v>55</v>
      </c>
      <c r="K39" s="22">
        <f t="shared" si="0"/>
        <v>495</v>
      </c>
      <c r="L39" s="22">
        <f t="shared" si="1"/>
        <v>0</v>
      </c>
      <c r="M39" s="33"/>
      <c r="N39" s="106">
        <f t="shared" si="2"/>
        <v>0</v>
      </c>
      <c r="O39" s="106">
        <f t="shared" si="3"/>
        <v>0</v>
      </c>
      <c r="P39" s="38">
        <f t="shared" si="13"/>
        <v>294195</v>
      </c>
      <c r="Q39" s="37">
        <f t="shared" si="4"/>
        <v>235356</v>
      </c>
      <c r="R39" s="38">
        <f t="shared" si="5"/>
        <v>191226.75</v>
      </c>
      <c r="S39" s="38">
        <f t="shared" si="6"/>
        <v>132387.75</v>
      </c>
      <c r="T39" s="23">
        <f t="shared" si="7"/>
        <v>2647755</v>
      </c>
      <c r="U39" s="23">
        <f t="shared" si="8"/>
        <v>0</v>
      </c>
      <c r="V39" s="23">
        <f t="shared" si="9"/>
        <v>0</v>
      </c>
      <c r="W39" s="23">
        <f t="shared" si="10"/>
        <v>0</v>
      </c>
      <c r="X39" s="23">
        <f t="shared" si="11"/>
        <v>5349</v>
      </c>
      <c r="Y39" s="23">
        <f t="shared" si="12"/>
        <v>2647755</v>
      </c>
    </row>
    <row r="40" spans="1:26" x14ac:dyDescent="0.25">
      <c r="A40" s="33" t="s">
        <v>183</v>
      </c>
      <c r="B40" s="33"/>
      <c r="C40" s="33"/>
      <c r="D40" s="33">
        <v>2</v>
      </c>
      <c r="E40" s="33">
        <v>42</v>
      </c>
      <c r="F40" s="33"/>
      <c r="G40" s="33"/>
      <c r="H40" s="33"/>
      <c r="I40" s="33"/>
      <c r="J40" s="33">
        <v>70</v>
      </c>
      <c r="K40" s="22">
        <f t="shared" si="0"/>
        <v>2940</v>
      </c>
      <c r="L40" s="22">
        <f t="shared" si="1"/>
        <v>0</v>
      </c>
      <c r="M40" s="33"/>
      <c r="N40" s="106">
        <f t="shared" si="2"/>
        <v>0</v>
      </c>
      <c r="O40" s="106">
        <f t="shared" si="3"/>
        <v>0</v>
      </c>
      <c r="P40" s="38">
        <f t="shared" si="13"/>
        <v>374430</v>
      </c>
      <c r="Q40" s="37">
        <f t="shared" si="4"/>
        <v>299544</v>
      </c>
      <c r="R40" s="38">
        <f t="shared" si="5"/>
        <v>243379.5</v>
      </c>
      <c r="S40" s="38">
        <f t="shared" si="6"/>
        <v>168493.5</v>
      </c>
      <c r="T40" s="23">
        <f t="shared" si="7"/>
        <v>15726060</v>
      </c>
      <c r="U40" s="23">
        <f t="shared" si="8"/>
        <v>0</v>
      </c>
      <c r="V40" s="23">
        <f t="shared" si="9"/>
        <v>0</v>
      </c>
      <c r="W40" s="23">
        <f t="shared" si="10"/>
        <v>0</v>
      </c>
      <c r="X40" s="23">
        <f t="shared" si="11"/>
        <v>5349</v>
      </c>
      <c r="Y40" s="23">
        <f t="shared" si="12"/>
        <v>15726060</v>
      </c>
    </row>
    <row r="41" spans="1:26" x14ac:dyDescent="0.25">
      <c r="A41" s="33" t="s">
        <v>186</v>
      </c>
      <c r="B41" s="33"/>
      <c r="C41" s="33"/>
      <c r="D41" s="33"/>
      <c r="E41" s="33"/>
      <c r="F41" s="33"/>
      <c r="G41" s="33"/>
      <c r="H41" s="33"/>
      <c r="I41" s="33"/>
      <c r="J41" s="33"/>
      <c r="K41" s="22">
        <f t="shared" si="0"/>
        <v>0</v>
      </c>
      <c r="L41" s="22">
        <f t="shared" si="1"/>
        <v>0</v>
      </c>
      <c r="M41" s="33"/>
      <c r="N41" s="106">
        <f t="shared" si="2"/>
        <v>0</v>
      </c>
      <c r="O41" s="106">
        <f t="shared" si="3"/>
        <v>0</v>
      </c>
      <c r="P41" s="38">
        <f t="shared" si="13"/>
        <v>0</v>
      </c>
      <c r="Q41" s="37">
        <f t="shared" si="4"/>
        <v>0</v>
      </c>
      <c r="R41" s="38">
        <f t="shared" si="5"/>
        <v>0</v>
      </c>
      <c r="S41" s="38">
        <f t="shared" si="6"/>
        <v>0</v>
      </c>
      <c r="T41" s="23">
        <f t="shared" si="7"/>
        <v>0</v>
      </c>
      <c r="U41" s="23">
        <f t="shared" si="8"/>
        <v>0</v>
      </c>
      <c r="V41" s="23">
        <f t="shared" si="9"/>
        <v>0</v>
      </c>
      <c r="W41" s="23">
        <f t="shared" si="10"/>
        <v>0</v>
      </c>
      <c r="X41" s="23" t="e">
        <f t="shared" si="11"/>
        <v>#DIV/0!</v>
      </c>
      <c r="Y41" s="23">
        <f t="shared" si="12"/>
        <v>0</v>
      </c>
    </row>
    <row r="42" spans="1:26" x14ac:dyDescent="0.25">
      <c r="A42" s="33" t="s">
        <v>191</v>
      </c>
      <c r="B42" s="33"/>
      <c r="C42" s="33"/>
      <c r="D42" s="33"/>
      <c r="E42" s="33"/>
      <c r="F42" s="33"/>
      <c r="G42" s="33"/>
      <c r="H42" s="33"/>
      <c r="I42" s="33"/>
      <c r="J42" s="33"/>
      <c r="K42" s="22">
        <f t="shared" si="0"/>
        <v>0</v>
      </c>
      <c r="L42" s="22">
        <f t="shared" si="1"/>
        <v>0</v>
      </c>
      <c r="M42" s="33"/>
      <c r="N42" s="106">
        <f t="shared" si="2"/>
        <v>0</v>
      </c>
      <c r="O42" s="106">
        <f t="shared" si="3"/>
        <v>0</v>
      </c>
      <c r="P42" s="38">
        <f t="shared" si="13"/>
        <v>0</v>
      </c>
      <c r="Q42" s="37">
        <f t="shared" si="4"/>
        <v>0</v>
      </c>
      <c r="R42" s="38">
        <f t="shared" si="5"/>
        <v>0</v>
      </c>
      <c r="S42" s="38">
        <f t="shared" si="6"/>
        <v>0</v>
      </c>
      <c r="T42" s="23">
        <f t="shared" si="7"/>
        <v>0</v>
      </c>
      <c r="U42" s="23">
        <f t="shared" si="8"/>
        <v>0</v>
      </c>
      <c r="V42" s="23">
        <f t="shared" si="9"/>
        <v>0</v>
      </c>
      <c r="W42" s="23">
        <f t="shared" si="10"/>
        <v>0</v>
      </c>
      <c r="X42" s="23" t="e">
        <f t="shared" si="11"/>
        <v>#DIV/0!</v>
      </c>
      <c r="Y42" s="23">
        <f t="shared" si="12"/>
        <v>0</v>
      </c>
    </row>
    <row r="43" spans="1:26" x14ac:dyDescent="0.25">
      <c r="A43" s="33" t="s">
        <v>182</v>
      </c>
      <c r="B43" s="33"/>
      <c r="C43" s="33"/>
      <c r="D43" s="33">
        <v>1</v>
      </c>
      <c r="E43" s="33">
        <v>22</v>
      </c>
      <c r="F43" s="33"/>
      <c r="G43" s="33"/>
      <c r="H43" s="33"/>
      <c r="I43" s="33"/>
      <c r="J43" s="33">
        <v>50</v>
      </c>
      <c r="K43" s="22">
        <f t="shared" si="0"/>
        <v>1100</v>
      </c>
      <c r="L43" s="22">
        <f t="shared" si="1"/>
        <v>0</v>
      </c>
      <c r="M43" s="33"/>
      <c r="N43" s="106">
        <f t="shared" si="2"/>
        <v>0</v>
      </c>
      <c r="O43" s="106">
        <f t="shared" si="3"/>
        <v>0</v>
      </c>
      <c r="P43" s="38">
        <f t="shared" si="13"/>
        <v>267450</v>
      </c>
      <c r="Q43" s="37">
        <f t="shared" si="4"/>
        <v>213960</v>
      </c>
      <c r="R43" s="38">
        <f t="shared" si="5"/>
        <v>173842.5</v>
      </c>
      <c r="S43" s="38">
        <f t="shared" si="6"/>
        <v>120352.5</v>
      </c>
      <c r="T43" s="23">
        <f t="shared" si="7"/>
        <v>5883900</v>
      </c>
      <c r="U43" s="23">
        <f t="shared" si="8"/>
        <v>0</v>
      </c>
      <c r="V43" s="23">
        <f t="shared" si="9"/>
        <v>0</v>
      </c>
      <c r="W43" s="23">
        <f t="shared" si="10"/>
        <v>0</v>
      </c>
      <c r="X43" s="23">
        <f t="shared" si="11"/>
        <v>5349</v>
      </c>
      <c r="Y43" s="23">
        <f t="shared" si="12"/>
        <v>5883900</v>
      </c>
    </row>
    <row r="44" spans="1:26" x14ac:dyDescent="0.25">
      <c r="A44" s="33" t="s">
        <v>183</v>
      </c>
      <c r="B44" s="33"/>
      <c r="C44" s="33"/>
      <c r="D44" s="33">
        <v>2</v>
      </c>
      <c r="E44" s="33">
        <v>23</v>
      </c>
      <c r="F44" s="33"/>
      <c r="G44" s="33"/>
      <c r="H44" s="33"/>
      <c r="I44" s="33"/>
      <c r="J44" s="33">
        <v>73</v>
      </c>
      <c r="K44" s="22">
        <f t="shared" si="0"/>
        <v>1679</v>
      </c>
      <c r="L44" s="22">
        <f t="shared" si="1"/>
        <v>0</v>
      </c>
      <c r="M44" s="33"/>
      <c r="N44" s="106">
        <f t="shared" si="2"/>
        <v>0</v>
      </c>
      <c r="O44" s="106">
        <f t="shared" si="3"/>
        <v>0</v>
      </c>
      <c r="P44" s="38">
        <f t="shared" si="13"/>
        <v>390477</v>
      </c>
      <c r="Q44" s="37">
        <f t="shared" si="4"/>
        <v>312381.60000000003</v>
      </c>
      <c r="R44" s="38">
        <f t="shared" si="5"/>
        <v>253810.05000000002</v>
      </c>
      <c r="S44" s="38">
        <f t="shared" si="6"/>
        <v>175714.65</v>
      </c>
      <c r="T44" s="23">
        <f t="shared" si="7"/>
        <v>8980971</v>
      </c>
      <c r="U44" s="23">
        <f t="shared" si="8"/>
        <v>0</v>
      </c>
      <c r="V44" s="23">
        <f t="shared" si="9"/>
        <v>0</v>
      </c>
      <c r="W44" s="23">
        <f t="shared" si="10"/>
        <v>0</v>
      </c>
      <c r="X44" s="23">
        <f t="shared" si="11"/>
        <v>5349</v>
      </c>
      <c r="Y44" s="23">
        <f t="shared" si="12"/>
        <v>8980971</v>
      </c>
      <c r="Z44" s="14">
        <f>SUM(Y43:Y44)</f>
        <v>14864871</v>
      </c>
    </row>
    <row r="45" spans="1:26" x14ac:dyDescent="0.25">
      <c r="A45" s="33" t="s">
        <v>186</v>
      </c>
      <c r="B45" s="33">
        <v>13594</v>
      </c>
      <c r="C45" s="33"/>
      <c r="D45" s="33"/>
      <c r="E45" s="33"/>
      <c r="F45" s="33"/>
      <c r="G45" s="33"/>
      <c r="H45" s="33"/>
      <c r="I45" s="33"/>
      <c r="J45" s="33"/>
      <c r="K45" s="22">
        <f t="shared" si="0"/>
        <v>0</v>
      </c>
      <c r="L45" s="22">
        <f t="shared" si="1"/>
        <v>0</v>
      </c>
      <c r="M45" s="33"/>
      <c r="N45" s="106">
        <f t="shared" si="2"/>
        <v>0</v>
      </c>
      <c r="O45" s="106">
        <f t="shared" si="3"/>
        <v>0</v>
      </c>
      <c r="P45" s="38">
        <f t="shared" si="13"/>
        <v>0</v>
      </c>
      <c r="Q45" s="37">
        <f t="shared" si="4"/>
        <v>0</v>
      </c>
      <c r="R45" s="38">
        <f t="shared" si="5"/>
        <v>0</v>
      </c>
      <c r="S45" s="38">
        <f t="shared" si="6"/>
        <v>0</v>
      </c>
      <c r="T45" s="23">
        <f t="shared" si="7"/>
        <v>0</v>
      </c>
      <c r="U45" s="23">
        <f t="shared" si="8"/>
        <v>0</v>
      </c>
      <c r="V45" s="23">
        <f t="shared" si="9"/>
        <v>0</v>
      </c>
      <c r="W45" s="23">
        <f t="shared" si="10"/>
        <v>0</v>
      </c>
      <c r="X45" s="23" t="e">
        <f t="shared" si="11"/>
        <v>#DIV/0!</v>
      </c>
      <c r="Y45" s="23">
        <f t="shared" si="12"/>
        <v>0</v>
      </c>
    </row>
    <row r="46" spans="1:26" x14ac:dyDescent="0.25">
      <c r="A46" s="33" t="s">
        <v>192</v>
      </c>
      <c r="B46" s="33"/>
      <c r="C46" s="33"/>
      <c r="D46" s="33">
        <v>3</v>
      </c>
      <c r="E46" s="33">
        <v>7</v>
      </c>
      <c r="F46" s="33"/>
      <c r="G46" s="33"/>
      <c r="H46" s="33"/>
      <c r="I46" s="33"/>
      <c r="J46" s="33">
        <v>93</v>
      </c>
      <c r="K46" s="22">
        <f t="shared" si="0"/>
        <v>651</v>
      </c>
      <c r="L46" s="22">
        <f t="shared" si="1"/>
        <v>0</v>
      </c>
      <c r="M46" s="33"/>
      <c r="N46" s="106">
        <f t="shared" si="2"/>
        <v>0</v>
      </c>
      <c r="O46" s="106">
        <f t="shared" si="3"/>
        <v>0</v>
      </c>
      <c r="P46" s="38">
        <f t="shared" si="13"/>
        <v>497457</v>
      </c>
      <c r="Q46" s="37">
        <f t="shared" si="4"/>
        <v>397965.60000000003</v>
      </c>
      <c r="R46" s="38"/>
      <c r="S46" s="38">
        <f t="shared" si="6"/>
        <v>223855.65</v>
      </c>
      <c r="T46" s="23">
        <f t="shared" si="7"/>
        <v>3482199</v>
      </c>
      <c r="U46" s="23">
        <f t="shared" si="8"/>
        <v>0</v>
      </c>
      <c r="V46" s="23">
        <f t="shared" si="9"/>
        <v>0</v>
      </c>
      <c r="W46" s="23">
        <f t="shared" si="10"/>
        <v>0</v>
      </c>
      <c r="X46" s="23">
        <f t="shared" si="11"/>
        <v>5349</v>
      </c>
      <c r="Y46" s="23">
        <f t="shared" si="12"/>
        <v>3482199</v>
      </c>
    </row>
    <row r="47" spans="1:26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22">
        <f t="shared" si="0"/>
        <v>0</v>
      </c>
      <c r="L47" s="22">
        <f t="shared" si="1"/>
        <v>0</v>
      </c>
      <c r="M47" s="33"/>
      <c r="N47" s="106">
        <f t="shared" si="2"/>
        <v>0</v>
      </c>
      <c r="O47" s="106">
        <f t="shared" si="3"/>
        <v>0</v>
      </c>
      <c r="P47" s="38">
        <f t="shared" si="13"/>
        <v>0</v>
      </c>
      <c r="Q47" s="37">
        <f t="shared" si="4"/>
        <v>0</v>
      </c>
      <c r="R47" s="38"/>
      <c r="S47" s="38"/>
      <c r="T47" s="23">
        <f t="shared" si="7"/>
        <v>0</v>
      </c>
      <c r="U47" s="23">
        <f t="shared" si="8"/>
        <v>0</v>
      </c>
      <c r="V47" s="23">
        <f t="shared" si="9"/>
        <v>0</v>
      </c>
      <c r="W47" s="23">
        <f t="shared" si="10"/>
        <v>0</v>
      </c>
      <c r="X47" s="23" t="e">
        <f t="shared" si="11"/>
        <v>#DIV/0!</v>
      </c>
      <c r="Y47" s="23">
        <f t="shared" si="12"/>
        <v>0</v>
      </c>
    </row>
    <row r="48" spans="1:26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22">
        <f t="shared" si="0"/>
        <v>0</v>
      </c>
      <c r="L48" s="22">
        <f t="shared" si="1"/>
        <v>0</v>
      </c>
      <c r="M48" s="33"/>
      <c r="N48" s="106">
        <f t="shared" si="2"/>
        <v>0</v>
      </c>
      <c r="O48" s="106">
        <f t="shared" si="3"/>
        <v>0</v>
      </c>
      <c r="P48" s="38">
        <f t="shared" si="13"/>
        <v>0</v>
      </c>
      <c r="Q48" s="37">
        <f t="shared" si="4"/>
        <v>0</v>
      </c>
      <c r="R48" s="38"/>
      <c r="S48" s="38"/>
      <c r="T48" s="23">
        <f t="shared" si="7"/>
        <v>0</v>
      </c>
      <c r="U48" s="23">
        <f t="shared" si="8"/>
        <v>0</v>
      </c>
      <c r="V48" s="23">
        <f t="shared" si="9"/>
        <v>0</v>
      </c>
      <c r="W48" s="23">
        <f t="shared" si="10"/>
        <v>0</v>
      </c>
      <c r="X48" s="23" t="e">
        <f t="shared" si="11"/>
        <v>#DIV/0!</v>
      </c>
      <c r="Y48" s="23">
        <f t="shared" si="12"/>
        <v>0</v>
      </c>
    </row>
    <row r="49" spans="1:25" x14ac:dyDescent="0.2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22">
        <f t="shared" si="0"/>
        <v>0</v>
      </c>
      <c r="L49" s="22">
        <f t="shared" si="1"/>
        <v>0</v>
      </c>
      <c r="M49" s="33"/>
      <c r="N49" s="106">
        <f t="shared" si="2"/>
        <v>0</v>
      </c>
      <c r="O49" s="106">
        <f t="shared" si="3"/>
        <v>0</v>
      </c>
      <c r="P49" s="38">
        <f t="shared" si="13"/>
        <v>0</v>
      </c>
      <c r="Q49" s="37">
        <f t="shared" si="4"/>
        <v>0</v>
      </c>
      <c r="R49" s="38"/>
      <c r="S49" s="38"/>
      <c r="T49" s="23">
        <f t="shared" si="7"/>
        <v>0</v>
      </c>
      <c r="U49" s="23">
        <f t="shared" si="8"/>
        <v>0</v>
      </c>
      <c r="V49" s="23">
        <f t="shared" si="9"/>
        <v>0</v>
      </c>
      <c r="W49" s="23">
        <f t="shared" si="10"/>
        <v>0</v>
      </c>
      <c r="X49" s="23" t="e">
        <f t="shared" si="11"/>
        <v>#DIV/0!</v>
      </c>
      <c r="Y49" s="23">
        <f t="shared" si="12"/>
        <v>0</v>
      </c>
    </row>
    <row r="50" spans="1:25" hidden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22">
        <f t="shared" si="0"/>
        <v>0</v>
      </c>
      <c r="L50" s="22">
        <f t="shared" si="1"/>
        <v>0</v>
      </c>
      <c r="M50" s="33"/>
      <c r="N50" s="106">
        <f t="shared" si="2"/>
        <v>0</v>
      </c>
      <c r="O50" s="106">
        <f t="shared" si="3"/>
        <v>0</v>
      </c>
      <c r="P50" s="38"/>
      <c r="Q50" s="37">
        <f t="shared" si="4"/>
        <v>0</v>
      </c>
      <c r="R50" s="38"/>
      <c r="S50" s="38"/>
      <c r="T50" s="23">
        <f t="shared" si="7"/>
        <v>0</v>
      </c>
      <c r="U50" s="23">
        <f t="shared" si="8"/>
        <v>0</v>
      </c>
      <c r="V50" s="23">
        <f t="shared" si="9"/>
        <v>0</v>
      </c>
      <c r="W50" s="23">
        <f t="shared" si="10"/>
        <v>0</v>
      </c>
      <c r="X50" s="23" t="e">
        <f t="shared" si="11"/>
        <v>#DIV/0!</v>
      </c>
      <c r="Y50" s="23">
        <f t="shared" si="12"/>
        <v>0</v>
      </c>
    </row>
    <row r="51" spans="1:25" hidden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22">
        <f t="shared" si="0"/>
        <v>0</v>
      </c>
      <c r="L51" s="22">
        <f t="shared" si="1"/>
        <v>0</v>
      </c>
      <c r="M51" s="33"/>
      <c r="N51" s="106">
        <f t="shared" si="2"/>
        <v>0</v>
      </c>
      <c r="O51" s="106">
        <f t="shared" si="3"/>
        <v>0</v>
      </c>
      <c r="P51" s="38"/>
      <c r="Q51" s="37">
        <f t="shared" si="4"/>
        <v>0</v>
      </c>
      <c r="R51" s="38"/>
      <c r="S51" s="38"/>
      <c r="T51" s="23">
        <f t="shared" si="7"/>
        <v>0</v>
      </c>
      <c r="U51" s="23">
        <f t="shared" si="8"/>
        <v>0</v>
      </c>
      <c r="V51" s="23">
        <f t="shared" si="9"/>
        <v>0</v>
      </c>
      <c r="W51" s="23">
        <f t="shared" si="10"/>
        <v>0</v>
      </c>
      <c r="X51" s="23" t="e">
        <f t="shared" si="11"/>
        <v>#DIV/0!</v>
      </c>
      <c r="Y51" s="23">
        <f t="shared" si="12"/>
        <v>0</v>
      </c>
    </row>
    <row r="52" spans="1:25" hidden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22">
        <f t="shared" si="0"/>
        <v>0</v>
      </c>
      <c r="L52" s="22">
        <f t="shared" si="1"/>
        <v>0</v>
      </c>
      <c r="M52" s="33"/>
      <c r="N52" s="106">
        <f t="shared" si="2"/>
        <v>0</v>
      </c>
      <c r="O52" s="106">
        <f t="shared" si="3"/>
        <v>0</v>
      </c>
      <c r="P52" s="38"/>
      <c r="Q52" s="37">
        <f t="shared" si="4"/>
        <v>0</v>
      </c>
      <c r="R52" s="38"/>
      <c r="S52" s="38"/>
      <c r="T52" s="23">
        <f t="shared" si="7"/>
        <v>0</v>
      </c>
      <c r="U52" s="23">
        <f t="shared" si="8"/>
        <v>0</v>
      </c>
      <c r="V52" s="23">
        <f t="shared" si="9"/>
        <v>0</v>
      </c>
      <c r="W52" s="23">
        <f t="shared" si="10"/>
        <v>0</v>
      </c>
      <c r="X52" s="23" t="e">
        <f t="shared" si="11"/>
        <v>#DIV/0!</v>
      </c>
      <c r="Y52" s="23">
        <f t="shared" si="12"/>
        <v>0</v>
      </c>
    </row>
    <row r="53" spans="1:25" hidden="1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22">
        <f t="shared" si="0"/>
        <v>0</v>
      </c>
      <c r="L53" s="22">
        <f t="shared" si="1"/>
        <v>0</v>
      </c>
      <c r="M53" s="33"/>
      <c r="N53" s="106">
        <f t="shared" si="2"/>
        <v>0</v>
      </c>
      <c r="O53" s="106">
        <f t="shared" si="3"/>
        <v>0</v>
      </c>
      <c r="P53" s="38"/>
      <c r="Q53" s="37">
        <f t="shared" si="4"/>
        <v>0</v>
      </c>
      <c r="R53" s="38"/>
      <c r="S53" s="38"/>
      <c r="T53" s="23">
        <f t="shared" si="7"/>
        <v>0</v>
      </c>
      <c r="U53" s="23">
        <f t="shared" si="8"/>
        <v>0</v>
      </c>
      <c r="V53" s="23">
        <f t="shared" si="9"/>
        <v>0</v>
      </c>
      <c r="W53" s="23">
        <f t="shared" si="10"/>
        <v>0</v>
      </c>
      <c r="X53" s="23" t="e">
        <f t="shared" si="11"/>
        <v>#DIV/0!</v>
      </c>
      <c r="Y53" s="23">
        <f t="shared" si="12"/>
        <v>0</v>
      </c>
    </row>
    <row r="54" spans="1:25" hidden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22">
        <f t="shared" si="0"/>
        <v>0</v>
      </c>
      <c r="L54" s="22">
        <f t="shared" si="1"/>
        <v>0</v>
      </c>
      <c r="M54" s="33"/>
      <c r="N54" s="106">
        <f t="shared" si="2"/>
        <v>0</v>
      </c>
      <c r="O54" s="106">
        <f t="shared" si="3"/>
        <v>0</v>
      </c>
      <c r="P54" s="38"/>
      <c r="Q54" s="37">
        <f t="shared" si="4"/>
        <v>0</v>
      </c>
      <c r="R54" s="38"/>
      <c r="S54" s="38"/>
      <c r="T54" s="23">
        <f t="shared" si="7"/>
        <v>0</v>
      </c>
      <c r="U54" s="23">
        <f t="shared" si="8"/>
        <v>0</v>
      </c>
      <c r="V54" s="23">
        <f t="shared" si="9"/>
        <v>0</v>
      </c>
      <c r="W54" s="23">
        <f t="shared" si="10"/>
        <v>0</v>
      </c>
      <c r="X54" s="23" t="e">
        <f t="shared" si="11"/>
        <v>#DIV/0!</v>
      </c>
      <c r="Y54" s="23">
        <f t="shared" si="12"/>
        <v>0</v>
      </c>
    </row>
    <row r="55" spans="1:25" hidden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22">
        <f t="shared" si="0"/>
        <v>0</v>
      </c>
      <c r="L55" s="22">
        <f t="shared" si="1"/>
        <v>0</v>
      </c>
      <c r="M55" s="33"/>
      <c r="N55" s="106">
        <f t="shared" si="2"/>
        <v>0</v>
      </c>
      <c r="O55" s="106">
        <f t="shared" si="3"/>
        <v>0</v>
      </c>
      <c r="P55" s="38"/>
      <c r="Q55" s="37">
        <f t="shared" si="4"/>
        <v>0</v>
      </c>
      <c r="R55" s="38"/>
      <c r="S55" s="38"/>
      <c r="T55" s="23">
        <f t="shared" si="7"/>
        <v>0</v>
      </c>
      <c r="U55" s="23">
        <f t="shared" si="8"/>
        <v>0</v>
      </c>
      <c r="V55" s="23">
        <f t="shared" si="9"/>
        <v>0</v>
      </c>
      <c r="W55" s="23">
        <f t="shared" si="10"/>
        <v>0</v>
      </c>
      <c r="X55" s="23" t="e">
        <f t="shared" si="11"/>
        <v>#DIV/0!</v>
      </c>
      <c r="Y55" s="23">
        <f t="shared" si="12"/>
        <v>0</v>
      </c>
    </row>
    <row r="56" spans="1:25" hidden="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22">
        <f t="shared" si="0"/>
        <v>0</v>
      </c>
      <c r="L56" s="22">
        <f t="shared" si="1"/>
        <v>0</v>
      </c>
      <c r="M56" s="33"/>
      <c r="N56" s="106">
        <f t="shared" si="2"/>
        <v>0</v>
      </c>
      <c r="O56" s="106">
        <f t="shared" si="3"/>
        <v>0</v>
      </c>
      <c r="P56" s="38"/>
      <c r="Q56" s="37">
        <f t="shared" si="4"/>
        <v>0</v>
      </c>
      <c r="R56" s="38"/>
      <c r="S56" s="38"/>
      <c r="T56" s="23">
        <f t="shared" si="7"/>
        <v>0</v>
      </c>
      <c r="U56" s="23">
        <f t="shared" si="8"/>
        <v>0</v>
      </c>
      <c r="V56" s="23">
        <f t="shared" si="9"/>
        <v>0</v>
      </c>
      <c r="W56" s="23">
        <f t="shared" si="10"/>
        <v>0</v>
      </c>
      <c r="X56" s="23" t="e">
        <f t="shared" si="11"/>
        <v>#DIV/0!</v>
      </c>
      <c r="Y56" s="23">
        <f t="shared" si="12"/>
        <v>0</v>
      </c>
    </row>
    <row r="57" spans="1:25" hidden="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22">
        <f t="shared" si="0"/>
        <v>0</v>
      </c>
      <c r="L57" s="22">
        <f t="shared" si="1"/>
        <v>0</v>
      </c>
      <c r="M57" s="33"/>
      <c r="N57" s="106">
        <f t="shared" si="2"/>
        <v>0</v>
      </c>
      <c r="O57" s="106">
        <f t="shared" si="3"/>
        <v>0</v>
      </c>
      <c r="P57" s="38"/>
      <c r="Q57" s="37">
        <f t="shared" si="4"/>
        <v>0</v>
      </c>
      <c r="R57" s="38"/>
      <c r="S57" s="38"/>
      <c r="T57" s="23">
        <f t="shared" si="7"/>
        <v>0</v>
      </c>
      <c r="U57" s="23">
        <f t="shared" si="8"/>
        <v>0</v>
      </c>
      <c r="V57" s="23">
        <f t="shared" si="9"/>
        <v>0</v>
      </c>
      <c r="W57" s="23">
        <f t="shared" si="10"/>
        <v>0</v>
      </c>
      <c r="X57" s="23" t="e">
        <f t="shared" si="11"/>
        <v>#DIV/0!</v>
      </c>
      <c r="Y57" s="23">
        <f t="shared" si="12"/>
        <v>0</v>
      </c>
    </row>
    <row r="58" spans="1:25" hidden="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22">
        <f t="shared" si="0"/>
        <v>0</v>
      </c>
      <c r="L58" s="22">
        <f t="shared" si="1"/>
        <v>0</v>
      </c>
      <c r="M58" s="33"/>
      <c r="N58" s="106">
        <f t="shared" si="2"/>
        <v>0</v>
      </c>
      <c r="O58" s="106">
        <f t="shared" si="3"/>
        <v>0</v>
      </c>
      <c r="P58" s="38"/>
      <c r="Q58" s="37">
        <f t="shared" si="4"/>
        <v>0</v>
      </c>
      <c r="R58" s="38"/>
      <c r="S58" s="38"/>
      <c r="T58" s="23">
        <f t="shared" si="7"/>
        <v>0</v>
      </c>
      <c r="U58" s="23">
        <f t="shared" si="8"/>
        <v>0</v>
      </c>
      <c r="V58" s="23">
        <f t="shared" si="9"/>
        <v>0</v>
      </c>
      <c r="W58" s="23">
        <f t="shared" si="10"/>
        <v>0</v>
      </c>
      <c r="X58" s="23" t="e">
        <f t="shared" si="11"/>
        <v>#DIV/0!</v>
      </c>
      <c r="Y58" s="23">
        <f t="shared" si="12"/>
        <v>0</v>
      </c>
    </row>
    <row r="59" spans="1:25" hidden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22">
        <f t="shared" si="0"/>
        <v>0</v>
      </c>
      <c r="L59" s="22">
        <f t="shared" si="1"/>
        <v>0</v>
      </c>
      <c r="M59" s="33"/>
      <c r="N59" s="106">
        <f t="shared" si="2"/>
        <v>0</v>
      </c>
      <c r="O59" s="106">
        <f t="shared" si="3"/>
        <v>0</v>
      </c>
      <c r="P59" s="38"/>
      <c r="Q59" s="37">
        <f t="shared" si="4"/>
        <v>0</v>
      </c>
      <c r="R59" s="38"/>
      <c r="S59" s="38"/>
      <c r="T59" s="23">
        <f t="shared" si="7"/>
        <v>0</v>
      </c>
      <c r="U59" s="23">
        <f t="shared" si="8"/>
        <v>0</v>
      </c>
      <c r="V59" s="23">
        <f t="shared" si="9"/>
        <v>0</v>
      </c>
      <c r="W59" s="23">
        <f t="shared" si="10"/>
        <v>0</v>
      </c>
      <c r="X59" s="23" t="e">
        <f t="shared" si="11"/>
        <v>#DIV/0!</v>
      </c>
      <c r="Y59" s="23">
        <f t="shared" si="12"/>
        <v>0</v>
      </c>
    </row>
    <row r="60" spans="1:25" hidden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22">
        <f t="shared" si="0"/>
        <v>0</v>
      </c>
      <c r="L60" s="22">
        <f t="shared" si="1"/>
        <v>0</v>
      </c>
      <c r="M60" s="33"/>
      <c r="N60" s="106">
        <f t="shared" si="2"/>
        <v>0</v>
      </c>
      <c r="O60" s="106">
        <f t="shared" si="3"/>
        <v>0</v>
      </c>
      <c r="P60" s="38"/>
      <c r="Q60" s="37">
        <f t="shared" si="4"/>
        <v>0</v>
      </c>
      <c r="R60" s="38"/>
      <c r="S60" s="38"/>
      <c r="T60" s="23">
        <f t="shared" si="7"/>
        <v>0</v>
      </c>
      <c r="U60" s="23">
        <f t="shared" si="8"/>
        <v>0</v>
      </c>
      <c r="V60" s="23">
        <f t="shared" si="9"/>
        <v>0</v>
      </c>
      <c r="W60" s="23">
        <f t="shared" si="10"/>
        <v>0</v>
      </c>
      <c r="X60" s="23" t="e">
        <f t="shared" si="11"/>
        <v>#DIV/0!</v>
      </c>
      <c r="Y60" s="23">
        <f t="shared" si="12"/>
        <v>0</v>
      </c>
    </row>
    <row r="61" spans="1:25" hidden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22">
        <f t="shared" si="0"/>
        <v>0</v>
      </c>
      <c r="L61" s="22">
        <f t="shared" si="1"/>
        <v>0</v>
      </c>
      <c r="M61" s="33"/>
      <c r="N61" s="106">
        <f t="shared" si="2"/>
        <v>0</v>
      </c>
      <c r="O61" s="106">
        <f t="shared" si="3"/>
        <v>0</v>
      </c>
      <c r="P61" s="38"/>
      <c r="Q61" s="37">
        <f t="shared" si="4"/>
        <v>0</v>
      </c>
      <c r="R61" s="38"/>
      <c r="S61" s="38"/>
      <c r="T61" s="23">
        <f t="shared" si="7"/>
        <v>0</v>
      </c>
      <c r="U61" s="23">
        <f t="shared" si="8"/>
        <v>0</v>
      </c>
      <c r="V61" s="23">
        <f t="shared" si="9"/>
        <v>0</v>
      </c>
      <c r="W61" s="23">
        <f t="shared" si="10"/>
        <v>0</v>
      </c>
      <c r="X61" s="23" t="e">
        <f t="shared" si="11"/>
        <v>#DIV/0!</v>
      </c>
      <c r="Y61" s="23">
        <f t="shared" si="12"/>
        <v>0</v>
      </c>
    </row>
    <row r="62" spans="1:25" hidden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22">
        <f t="shared" si="0"/>
        <v>0</v>
      </c>
      <c r="L62" s="22">
        <f t="shared" si="1"/>
        <v>0</v>
      </c>
      <c r="M62" s="33"/>
      <c r="N62" s="106">
        <f t="shared" si="2"/>
        <v>0</v>
      </c>
      <c r="O62" s="106">
        <f t="shared" si="3"/>
        <v>0</v>
      </c>
      <c r="P62" s="38"/>
      <c r="Q62" s="37">
        <f t="shared" si="4"/>
        <v>0</v>
      </c>
      <c r="R62" s="38"/>
      <c r="S62" s="38"/>
      <c r="T62" s="23">
        <f t="shared" si="7"/>
        <v>0</v>
      </c>
      <c r="U62" s="23">
        <f t="shared" si="8"/>
        <v>0</v>
      </c>
      <c r="V62" s="23">
        <f t="shared" si="9"/>
        <v>0</v>
      </c>
      <c r="W62" s="23">
        <f t="shared" si="10"/>
        <v>0</v>
      </c>
      <c r="X62" s="23" t="e">
        <f t="shared" si="11"/>
        <v>#DIV/0!</v>
      </c>
      <c r="Y62" s="23">
        <f t="shared" si="12"/>
        <v>0</v>
      </c>
    </row>
    <row r="63" spans="1:25" hidden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22">
        <f t="shared" si="0"/>
        <v>0</v>
      </c>
      <c r="L63" s="22">
        <f t="shared" si="1"/>
        <v>0</v>
      </c>
      <c r="M63" s="33"/>
      <c r="N63" s="106">
        <f t="shared" si="2"/>
        <v>0</v>
      </c>
      <c r="O63" s="106">
        <f t="shared" si="3"/>
        <v>0</v>
      </c>
      <c r="P63" s="38"/>
      <c r="Q63" s="37">
        <f t="shared" si="4"/>
        <v>0</v>
      </c>
      <c r="R63" s="38"/>
      <c r="S63" s="38"/>
      <c r="T63" s="23">
        <f t="shared" si="7"/>
        <v>0</v>
      </c>
      <c r="U63" s="23">
        <f t="shared" si="8"/>
        <v>0</v>
      </c>
      <c r="V63" s="23">
        <f t="shared" si="9"/>
        <v>0</v>
      </c>
      <c r="W63" s="23">
        <f t="shared" si="10"/>
        <v>0</v>
      </c>
      <c r="X63" s="23" t="e">
        <f t="shared" si="11"/>
        <v>#DIV/0!</v>
      </c>
      <c r="Y63" s="23">
        <f t="shared" si="12"/>
        <v>0</v>
      </c>
    </row>
    <row r="64" spans="1:25" hidden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22">
        <f t="shared" si="0"/>
        <v>0</v>
      </c>
      <c r="L64" s="22">
        <f t="shared" si="1"/>
        <v>0</v>
      </c>
      <c r="M64" s="33"/>
      <c r="N64" s="106">
        <f t="shared" si="2"/>
        <v>0</v>
      </c>
      <c r="O64" s="106">
        <f t="shared" si="3"/>
        <v>0</v>
      </c>
      <c r="P64" s="38"/>
      <c r="Q64" s="37">
        <f t="shared" si="4"/>
        <v>0</v>
      </c>
      <c r="R64" s="38"/>
      <c r="S64" s="38"/>
      <c r="T64" s="23">
        <f t="shared" si="7"/>
        <v>0</v>
      </c>
      <c r="U64" s="23">
        <f t="shared" si="8"/>
        <v>0</v>
      </c>
      <c r="V64" s="23">
        <f t="shared" si="9"/>
        <v>0</v>
      </c>
      <c r="W64" s="23">
        <f t="shared" si="10"/>
        <v>0</v>
      </c>
      <c r="X64" s="23" t="e">
        <f t="shared" si="11"/>
        <v>#DIV/0!</v>
      </c>
      <c r="Y64" s="23">
        <f t="shared" si="12"/>
        <v>0</v>
      </c>
    </row>
    <row r="65" spans="1:25" hidden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22">
        <f t="shared" si="0"/>
        <v>0</v>
      </c>
      <c r="L65" s="22">
        <f t="shared" si="1"/>
        <v>0</v>
      </c>
      <c r="M65" s="33"/>
      <c r="N65" s="106">
        <f t="shared" si="2"/>
        <v>0</v>
      </c>
      <c r="O65" s="106">
        <f t="shared" si="3"/>
        <v>0</v>
      </c>
      <c r="P65" s="38"/>
      <c r="Q65" s="37">
        <f t="shared" si="4"/>
        <v>0</v>
      </c>
      <c r="R65" s="38"/>
      <c r="S65" s="38"/>
      <c r="T65" s="23">
        <f t="shared" si="7"/>
        <v>0</v>
      </c>
      <c r="U65" s="23">
        <f t="shared" si="8"/>
        <v>0</v>
      </c>
      <c r="V65" s="23">
        <f t="shared" si="9"/>
        <v>0</v>
      </c>
      <c r="W65" s="23">
        <f t="shared" si="10"/>
        <v>0</v>
      </c>
      <c r="X65" s="23" t="e">
        <f t="shared" si="11"/>
        <v>#DIV/0!</v>
      </c>
      <c r="Y65" s="23">
        <f t="shared" si="12"/>
        <v>0</v>
      </c>
    </row>
    <row r="66" spans="1:25" hidden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22">
        <f t="shared" si="0"/>
        <v>0</v>
      </c>
      <c r="L66" s="22">
        <f t="shared" si="1"/>
        <v>0</v>
      </c>
      <c r="M66" s="33"/>
      <c r="N66" s="106">
        <f t="shared" si="2"/>
        <v>0</v>
      </c>
      <c r="O66" s="106">
        <f t="shared" si="3"/>
        <v>0</v>
      </c>
      <c r="P66" s="38"/>
      <c r="Q66" s="37">
        <f t="shared" si="4"/>
        <v>0</v>
      </c>
      <c r="R66" s="38"/>
      <c r="S66" s="38"/>
      <c r="T66" s="23">
        <f t="shared" si="7"/>
        <v>0</v>
      </c>
      <c r="U66" s="23">
        <f t="shared" si="8"/>
        <v>0</v>
      </c>
      <c r="V66" s="23">
        <f t="shared" si="9"/>
        <v>0</v>
      </c>
      <c r="W66" s="23">
        <f t="shared" si="10"/>
        <v>0</v>
      </c>
      <c r="X66" s="23" t="e">
        <f t="shared" si="11"/>
        <v>#DIV/0!</v>
      </c>
      <c r="Y66" s="23">
        <f t="shared" si="12"/>
        <v>0</v>
      </c>
    </row>
    <row r="67" spans="1:25" hidden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22">
        <f t="shared" si="0"/>
        <v>0</v>
      </c>
      <c r="L67" s="22">
        <f t="shared" si="1"/>
        <v>0</v>
      </c>
      <c r="M67" s="33"/>
      <c r="N67" s="106">
        <f t="shared" si="2"/>
        <v>0</v>
      </c>
      <c r="O67" s="106">
        <f t="shared" si="3"/>
        <v>0</v>
      </c>
      <c r="P67" s="38"/>
      <c r="Q67" s="37">
        <f t="shared" si="4"/>
        <v>0</v>
      </c>
      <c r="R67" s="38"/>
      <c r="S67" s="38"/>
      <c r="T67" s="23">
        <f t="shared" si="7"/>
        <v>0</v>
      </c>
      <c r="U67" s="23">
        <f t="shared" si="8"/>
        <v>0</v>
      </c>
      <c r="V67" s="23">
        <f t="shared" si="9"/>
        <v>0</v>
      </c>
      <c r="W67" s="23">
        <f t="shared" si="10"/>
        <v>0</v>
      </c>
      <c r="X67" s="23" t="e">
        <f t="shared" si="11"/>
        <v>#DIV/0!</v>
      </c>
      <c r="Y67" s="23">
        <f t="shared" si="12"/>
        <v>0</v>
      </c>
    </row>
    <row r="68" spans="1:25" hidden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22">
        <f t="shared" si="0"/>
        <v>0</v>
      </c>
      <c r="L68" s="22">
        <f t="shared" si="1"/>
        <v>0</v>
      </c>
      <c r="M68" s="33"/>
      <c r="N68" s="106">
        <f t="shared" si="2"/>
        <v>0</v>
      </c>
      <c r="O68" s="106">
        <f t="shared" si="3"/>
        <v>0</v>
      </c>
      <c r="P68" s="38"/>
      <c r="Q68" s="37">
        <f t="shared" si="4"/>
        <v>0</v>
      </c>
      <c r="R68" s="38"/>
      <c r="S68" s="38"/>
      <c r="T68" s="23">
        <f t="shared" si="7"/>
        <v>0</v>
      </c>
      <c r="U68" s="23">
        <f t="shared" si="8"/>
        <v>0</v>
      </c>
      <c r="V68" s="23">
        <f t="shared" si="9"/>
        <v>0</v>
      </c>
      <c r="W68" s="23">
        <f t="shared" si="10"/>
        <v>0</v>
      </c>
      <c r="X68" s="23" t="e">
        <f t="shared" si="11"/>
        <v>#DIV/0!</v>
      </c>
      <c r="Y68" s="23">
        <f t="shared" si="12"/>
        <v>0</v>
      </c>
    </row>
    <row r="69" spans="1:25" hidden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22">
        <f t="shared" si="0"/>
        <v>0</v>
      </c>
      <c r="L69" s="22">
        <f t="shared" si="1"/>
        <v>0</v>
      </c>
      <c r="M69" s="33"/>
      <c r="N69" s="106">
        <f t="shared" si="2"/>
        <v>0</v>
      </c>
      <c r="O69" s="106">
        <f t="shared" si="3"/>
        <v>0</v>
      </c>
      <c r="P69" s="38"/>
      <c r="Q69" s="37">
        <f t="shared" si="4"/>
        <v>0</v>
      </c>
      <c r="R69" s="38"/>
      <c r="S69" s="38"/>
      <c r="T69" s="23">
        <f t="shared" si="7"/>
        <v>0</v>
      </c>
      <c r="U69" s="23">
        <f t="shared" si="8"/>
        <v>0</v>
      </c>
      <c r="V69" s="23">
        <f t="shared" si="9"/>
        <v>0</v>
      </c>
      <c r="W69" s="23">
        <f t="shared" si="10"/>
        <v>0</v>
      </c>
      <c r="X69" s="23" t="e">
        <f t="shared" si="11"/>
        <v>#DIV/0!</v>
      </c>
      <c r="Y69" s="23">
        <f t="shared" si="12"/>
        <v>0</v>
      </c>
    </row>
    <row r="70" spans="1:25" hidden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22">
        <f t="shared" si="0"/>
        <v>0</v>
      </c>
      <c r="L70" s="22">
        <f t="shared" si="1"/>
        <v>0</v>
      </c>
      <c r="M70" s="33"/>
      <c r="N70" s="106">
        <f t="shared" si="2"/>
        <v>0</v>
      </c>
      <c r="O70" s="106">
        <f t="shared" si="3"/>
        <v>0</v>
      </c>
      <c r="P70" s="38"/>
      <c r="Q70" s="37">
        <f t="shared" si="4"/>
        <v>0</v>
      </c>
      <c r="R70" s="38"/>
      <c r="S70" s="38"/>
      <c r="T70" s="23">
        <f t="shared" si="7"/>
        <v>0</v>
      </c>
      <c r="U70" s="23">
        <f t="shared" si="8"/>
        <v>0</v>
      </c>
      <c r="V70" s="23">
        <f t="shared" si="9"/>
        <v>0</v>
      </c>
      <c r="W70" s="23">
        <f t="shared" si="10"/>
        <v>0</v>
      </c>
      <c r="X70" s="23" t="e">
        <f t="shared" si="11"/>
        <v>#DIV/0!</v>
      </c>
      <c r="Y70" s="23">
        <f t="shared" si="12"/>
        <v>0</v>
      </c>
    </row>
    <row r="71" spans="1:25" hidden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22">
        <f t="shared" si="0"/>
        <v>0</v>
      </c>
      <c r="L71" s="22">
        <f t="shared" si="1"/>
        <v>0</v>
      </c>
      <c r="M71" s="33"/>
      <c r="N71" s="106">
        <f t="shared" si="2"/>
        <v>0</v>
      </c>
      <c r="O71" s="106">
        <f t="shared" si="3"/>
        <v>0</v>
      </c>
      <c r="P71" s="38"/>
      <c r="Q71" s="37">
        <f t="shared" si="4"/>
        <v>0</v>
      </c>
      <c r="R71" s="38"/>
      <c r="S71" s="38"/>
      <c r="T71" s="23">
        <f t="shared" si="7"/>
        <v>0</v>
      </c>
      <c r="U71" s="23">
        <f t="shared" si="8"/>
        <v>0</v>
      </c>
      <c r="V71" s="23">
        <f t="shared" si="9"/>
        <v>0</v>
      </c>
      <c r="W71" s="23">
        <f t="shared" si="10"/>
        <v>0</v>
      </c>
      <c r="X71" s="23" t="e">
        <f t="shared" si="11"/>
        <v>#DIV/0!</v>
      </c>
      <c r="Y71" s="23">
        <f t="shared" si="12"/>
        <v>0</v>
      </c>
    </row>
    <row r="72" spans="1:25" hidden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22">
        <f t="shared" ref="K72:K110" si="14">SUM(E72*J72)</f>
        <v>0</v>
      </c>
      <c r="L72" s="22">
        <f t="shared" ref="L72:L110" si="15">SUM(F72:I72)*J72</f>
        <v>0</v>
      </c>
      <c r="M72" s="33"/>
      <c r="N72" s="106">
        <f t="shared" ref="N72:N110" si="16">SUM(F72:I72)*M72</f>
        <v>0</v>
      </c>
      <c r="O72" s="106">
        <f t="shared" ref="O72:O110" si="17">SUM(E72:I72)*M72</f>
        <v>0</v>
      </c>
      <c r="P72" s="38"/>
      <c r="Q72" s="37">
        <f t="shared" ref="Q72:Q110" si="18">SUM(P72*80%)</f>
        <v>0</v>
      </c>
      <c r="R72" s="38"/>
      <c r="S72" s="38"/>
      <c r="T72" s="23">
        <f t="shared" ref="T72:T110" si="19">SUM(P72*E72)</f>
        <v>0</v>
      </c>
      <c r="U72" s="23">
        <f t="shared" ref="U72:U110" si="20">SUM(Q72*I72)</f>
        <v>0</v>
      </c>
      <c r="V72" s="23">
        <f t="shared" ref="V72:V110" si="21">SUM(R72*H72+S72*G72+S72*F72)</f>
        <v>0</v>
      </c>
      <c r="W72" s="23">
        <f t="shared" ref="W72:W110" si="22">SUM(U72+V72)</f>
        <v>0</v>
      </c>
      <c r="X72" s="23" t="e">
        <f t="shared" ref="X72:X110" si="23">SUM(Y72/K72)</f>
        <v>#DIV/0!</v>
      </c>
      <c r="Y72" s="23">
        <f t="shared" ref="Y72:Y110" si="24">SUM(T72:V72)</f>
        <v>0</v>
      </c>
    </row>
    <row r="73" spans="1:25" hidden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22">
        <f t="shared" si="14"/>
        <v>0</v>
      </c>
      <c r="L73" s="22">
        <f t="shared" si="15"/>
        <v>0</v>
      </c>
      <c r="M73" s="33"/>
      <c r="N73" s="106">
        <f t="shared" si="16"/>
        <v>0</v>
      </c>
      <c r="O73" s="106">
        <f t="shared" si="17"/>
        <v>0</v>
      </c>
      <c r="P73" s="38"/>
      <c r="Q73" s="37">
        <f t="shared" si="18"/>
        <v>0</v>
      </c>
      <c r="R73" s="38"/>
      <c r="S73" s="38"/>
      <c r="T73" s="23">
        <f t="shared" si="19"/>
        <v>0</v>
      </c>
      <c r="U73" s="23">
        <f t="shared" si="20"/>
        <v>0</v>
      </c>
      <c r="V73" s="23">
        <f t="shared" si="21"/>
        <v>0</v>
      </c>
      <c r="W73" s="23">
        <f t="shared" si="22"/>
        <v>0</v>
      </c>
      <c r="X73" s="23" t="e">
        <f t="shared" si="23"/>
        <v>#DIV/0!</v>
      </c>
      <c r="Y73" s="23">
        <f t="shared" si="24"/>
        <v>0</v>
      </c>
    </row>
    <row r="74" spans="1:25" hidden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22">
        <f t="shared" si="14"/>
        <v>0</v>
      </c>
      <c r="L74" s="22">
        <f t="shared" si="15"/>
        <v>0</v>
      </c>
      <c r="M74" s="33"/>
      <c r="N74" s="106">
        <f t="shared" si="16"/>
        <v>0</v>
      </c>
      <c r="O74" s="106">
        <f t="shared" si="17"/>
        <v>0</v>
      </c>
      <c r="P74" s="38"/>
      <c r="Q74" s="37">
        <f t="shared" si="18"/>
        <v>0</v>
      </c>
      <c r="R74" s="38"/>
      <c r="S74" s="38"/>
      <c r="T74" s="23">
        <f t="shared" si="19"/>
        <v>0</v>
      </c>
      <c r="U74" s="23">
        <f t="shared" si="20"/>
        <v>0</v>
      </c>
      <c r="V74" s="23">
        <f t="shared" si="21"/>
        <v>0</v>
      </c>
      <c r="W74" s="23">
        <f t="shared" si="22"/>
        <v>0</v>
      </c>
      <c r="X74" s="23" t="e">
        <f t="shared" si="23"/>
        <v>#DIV/0!</v>
      </c>
      <c r="Y74" s="23">
        <f t="shared" si="24"/>
        <v>0</v>
      </c>
    </row>
    <row r="75" spans="1:25" hidden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22">
        <f t="shared" si="14"/>
        <v>0</v>
      </c>
      <c r="L75" s="22">
        <f t="shared" si="15"/>
        <v>0</v>
      </c>
      <c r="M75" s="33"/>
      <c r="N75" s="106">
        <f t="shared" si="16"/>
        <v>0</v>
      </c>
      <c r="O75" s="106">
        <f t="shared" si="17"/>
        <v>0</v>
      </c>
      <c r="P75" s="38"/>
      <c r="Q75" s="37">
        <f t="shared" si="18"/>
        <v>0</v>
      </c>
      <c r="R75" s="38"/>
      <c r="S75" s="38"/>
      <c r="T75" s="23">
        <f t="shared" si="19"/>
        <v>0</v>
      </c>
      <c r="U75" s="23">
        <f t="shared" si="20"/>
        <v>0</v>
      </c>
      <c r="V75" s="23">
        <f t="shared" si="21"/>
        <v>0</v>
      </c>
      <c r="W75" s="23">
        <f t="shared" si="22"/>
        <v>0</v>
      </c>
      <c r="X75" s="23" t="e">
        <f t="shared" si="23"/>
        <v>#DIV/0!</v>
      </c>
      <c r="Y75" s="23">
        <f t="shared" si="24"/>
        <v>0</v>
      </c>
    </row>
    <row r="76" spans="1:25" hidden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22">
        <f t="shared" si="14"/>
        <v>0</v>
      </c>
      <c r="L76" s="22">
        <f t="shared" si="15"/>
        <v>0</v>
      </c>
      <c r="M76" s="33"/>
      <c r="N76" s="106">
        <f t="shared" si="16"/>
        <v>0</v>
      </c>
      <c r="O76" s="106">
        <f t="shared" si="17"/>
        <v>0</v>
      </c>
      <c r="P76" s="38"/>
      <c r="Q76" s="37">
        <f t="shared" si="18"/>
        <v>0</v>
      </c>
      <c r="R76" s="38"/>
      <c r="S76" s="38"/>
      <c r="T76" s="23">
        <f t="shared" si="19"/>
        <v>0</v>
      </c>
      <c r="U76" s="23">
        <f t="shared" si="20"/>
        <v>0</v>
      </c>
      <c r="V76" s="23">
        <f t="shared" si="21"/>
        <v>0</v>
      </c>
      <c r="W76" s="23">
        <f t="shared" si="22"/>
        <v>0</v>
      </c>
      <c r="X76" s="23" t="e">
        <f t="shared" si="23"/>
        <v>#DIV/0!</v>
      </c>
      <c r="Y76" s="23">
        <f t="shared" si="24"/>
        <v>0</v>
      </c>
    </row>
    <row r="77" spans="1:25" hidden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22">
        <f t="shared" si="14"/>
        <v>0</v>
      </c>
      <c r="L77" s="22">
        <f t="shared" si="15"/>
        <v>0</v>
      </c>
      <c r="M77" s="33"/>
      <c r="N77" s="106">
        <f t="shared" si="16"/>
        <v>0</v>
      </c>
      <c r="O77" s="106">
        <f t="shared" si="17"/>
        <v>0</v>
      </c>
      <c r="P77" s="38"/>
      <c r="Q77" s="37">
        <f t="shared" si="18"/>
        <v>0</v>
      </c>
      <c r="R77" s="38"/>
      <c r="S77" s="38"/>
      <c r="T77" s="23">
        <f t="shared" si="19"/>
        <v>0</v>
      </c>
      <c r="U77" s="23">
        <f t="shared" si="20"/>
        <v>0</v>
      </c>
      <c r="V77" s="23">
        <f t="shared" si="21"/>
        <v>0</v>
      </c>
      <c r="W77" s="23">
        <f t="shared" si="22"/>
        <v>0</v>
      </c>
      <c r="X77" s="23" t="e">
        <f t="shared" si="23"/>
        <v>#DIV/0!</v>
      </c>
      <c r="Y77" s="23">
        <f t="shared" si="24"/>
        <v>0</v>
      </c>
    </row>
    <row r="78" spans="1:25" hidden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22">
        <f t="shared" si="14"/>
        <v>0</v>
      </c>
      <c r="L78" s="22">
        <f t="shared" si="15"/>
        <v>0</v>
      </c>
      <c r="M78" s="33"/>
      <c r="N78" s="106">
        <f t="shared" si="16"/>
        <v>0</v>
      </c>
      <c r="O78" s="106">
        <f t="shared" si="17"/>
        <v>0</v>
      </c>
      <c r="P78" s="38"/>
      <c r="Q78" s="37">
        <f t="shared" si="18"/>
        <v>0</v>
      </c>
      <c r="R78" s="38"/>
      <c r="S78" s="38"/>
      <c r="T78" s="23">
        <f t="shared" si="19"/>
        <v>0</v>
      </c>
      <c r="U78" s="23">
        <f t="shared" si="20"/>
        <v>0</v>
      </c>
      <c r="V78" s="23">
        <f t="shared" si="21"/>
        <v>0</v>
      </c>
      <c r="W78" s="23">
        <f t="shared" si="22"/>
        <v>0</v>
      </c>
      <c r="X78" s="23" t="e">
        <f t="shared" si="23"/>
        <v>#DIV/0!</v>
      </c>
      <c r="Y78" s="23">
        <f t="shared" si="24"/>
        <v>0</v>
      </c>
    </row>
    <row r="79" spans="1:25" hidden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22">
        <f t="shared" si="14"/>
        <v>0</v>
      </c>
      <c r="L79" s="22">
        <f t="shared" si="15"/>
        <v>0</v>
      </c>
      <c r="M79" s="33"/>
      <c r="N79" s="106">
        <f t="shared" si="16"/>
        <v>0</v>
      </c>
      <c r="O79" s="106">
        <f t="shared" si="17"/>
        <v>0</v>
      </c>
      <c r="P79" s="38"/>
      <c r="Q79" s="37">
        <f t="shared" si="18"/>
        <v>0</v>
      </c>
      <c r="R79" s="38"/>
      <c r="S79" s="38"/>
      <c r="T79" s="23">
        <f t="shared" si="19"/>
        <v>0</v>
      </c>
      <c r="U79" s="23">
        <f t="shared" si="20"/>
        <v>0</v>
      </c>
      <c r="V79" s="23">
        <f t="shared" si="21"/>
        <v>0</v>
      </c>
      <c r="W79" s="23">
        <f t="shared" si="22"/>
        <v>0</v>
      </c>
      <c r="X79" s="23" t="e">
        <f t="shared" si="23"/>
        <v>#DIV/0!</v>
      </c>
      <c r="Y79" s="23">
        <f t="shared" si="24"/>
        <v>0</v>
      </c>
    </row>
    <row r="80" spans="1:25" hidden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22">
        <f t="shared" si="14"/>
        <v>0</v>
      </c>
      <c r="L80" s="22">
        <f t="shared" si="15"/>
        <v>0</v>
      </c>
      <c r="M80" s="33"/>
      <c r="N80" s="106">
        <f t="shared" si="16"/>
        <v>0</v>
      </c>
      <c r="O80" s="106">
        <f t="shared" si="17"/>
        <v>0</v>
      </c>
      <c r="P80" s="38"/>
      <c r="Q80" s="37">
        <f t="shared" si="18"/>
        <v>0</v>
      </c>
      <c r="R80" s="38"/>
      <c r="S80" s="38"/>
      <c r="T80" s="23">
        <f t="shared" si="19"/>
        <v>0</v>
      </c>
      <c r="U80" s="23">
        <f t="shared" si="20"/>
        <v>0</v>
      </c>
      <c r="V80" s="23">
        <f t="shared" si="21"/>
        <v>0</v>
      </c>
      <c r="W80" s="23">
        <f t="shared" si="22"/>
        <v>0</v>
      </c>
      <c r="X80" s="23" t="e">
        <f t="shared" si="23"/>
        <v>#DIV/0!</v>
      </c>
      <c r="Y80" s="23">
        <f t="shared" si="24"/>
        <v>0</v>
      </c>
    </row>
    <row r="81" spans="1:25" hidden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22">
        <f t="shared" si="14"/>
        <v>0</v>
      </c>
      <c r="L81" s="22">
        <f t="shared" si="15"/>
        <v>0</v>
      </c>
      <c r="M81" s="33"/>
      <c r="N81" s="106">
        <f t="shared" si="16"/>
        <v>0</v>
      </c>
      <c r="O81" s="106">
        <f t="shared" si="17"/>
        <v>0</v>
      </c>
      <c r="P81" s="38"/>
      <c r="Q81" s="37">
        <f t="shared" si="18"/>
        <v>0</v>
      </c>
      <c r="R81" s="38"/>
      <c r="S81" s="38"/>
      <c r="T81" s="23">
        <f t="shared" si="19"/>
        <v>0</v>
      </c>
      <c r="U81" s="23">
        <f t="shared" si="20"/>
        <v>0</v>
      </c>
      <c r="V81" s="23">
        <f t="shared" si="21"/>
        <v>0</v>
      </c>
      <c r="W81" s="23">
        <f t="shared" si="22"/>
        <v>0</v>
      </c>
      <c r="X81" s="23" t="e">
        <f t="shared" si="23"/>
        <v>#DIV/0!</v>
      </c>
      <c r="Y81" s="23">
        <f t="shared" si="24"/>
        <v>0</v>
      </c>
    </row>
    <row r="82" spans="1:25" hidden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22">
        <f t="shared" si="14"/>
        <v>0</v>
      </c>
      <c r="L82" s="22">
        <f t="shared" si="15"/>
        <v>0</v>
      </c>
      <c r="M82" s="33"/>
      <c r="N82" s="106">
        <f t="shared" si="16"/>
        <v>0</v>
      </c>
      <c r="O82" s="106">
        <f t="shared" si="17"/>
        <v>0</v>
      </c>
      <c r="P82" s="38"/>
      <c r="Q82" s="37">
        <f t="shared" si="18"/>
        <v>0</v>
      </c>
      <c r="R82" s="38"/>
      <c r="S82" s="38"/>
      <c r="T82" s="23">
        <f t="shared" si="19"/>
        <v>0</v>
      </c>
      <c r="U82" s="23">
        <f t="shared" si="20"/>
        <v>0</v>
      </c>
      <c r="V82" s="23">
        <f t="shared" si="21"/>
        <v>0</v>
      </c>
      <c r="W82" s="23">
        <f t="shared" si="22"/>
        <v>0</v>
      </c>
      <c r="X82" s="23" t="e">
        <f t="shared" si="23"/>
        <v>#DIV/0!</v>
      </c>
      <c r="Y82" s="23">
        <f t="shared" si="24"/>
        <v>0</v>
      </c>
    </row>
    <row r="83" spans="1:25" hidden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22">
        <f t="shared" si="14"/>
        <v>0</v>
      </c>
      <c r="L83" s="22">
        <f t="shared" si="15"/>
        <v>0</v>
      </c>
      <c r="M83" s="33"/>
      <c r="N83" s="106">
        <f t="shared" si="16"/>
        <v>0</v>
      </c>
      <c r="O83" s="106">
        <f t="shared" si="17"/>
        <v>0</v>
      </c>
      <c r="P83" s="38"/>
      <c r="Q83" s="37">
        <f t="shared" si="18"/>
        <v>0</v>
      </c>
      <c r="R83" s="38"/>
      <c r="S83" s="38"/>
      <c r="T83" s="23">
        <f t="shared" si="19"/>
        <v>0</v>
      </c>
      <c r="U83" s="23">
        <f t="shared" si="20"/>
        <v>0</v>
      </c>
      <c r="V83" s="23">
        <f t="shared" si="21"/>
        <v>0</v>
      </c>
      <c r="W83" s="23">
        <f t="shared" si="22"/>
        <v>0</v>
      </c>
      <c r="X83" s="23" t="e">
        <f t="shared" si="23"/>
        <v>#DIV/0!</v>
      </c>
      <c r="Y83" s="23">
        <f t="shared" si="24"/>
        <v>0</v>
      </c>
    </row>
    <row r="84" spans="1:25" hidden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22">
        <f t="shared" si="14"/>
        <v>0</v>
      </c>
      <c r="L84" s="22">
        <f t="shared" si="15"/>
        <v>0</v>
      </c>
      <c r="M84" s="33"/>
      <c r="N84" s="106">
        <f t="shared" si="16"/>
        <v>0</v>
      </c>
      <c r="O84" s="106">
        <f t="shared" si="17"/>
        <v>0</v>
      </c>
      <c r="P84" s="38"/>
      <c r="Q84" s="37">
        <f t="shared" si="18"/>
        <v>0</v>
      </c>
      <c r="R84" s="38"/>
      <c r="S84" s="38"/>
      <c r="T84" s="23">
        <f t="shared" si="19"/>
        <v>0</v>
      </c>
      <c r="U84" s="23">
        <f t="shared" si="20"/>
        <v>0</v>
      </c>
      <c r="V84" s="23">
        <f t="shared" si="21"/>
        <v>0</v>
      </c>
      <c r="W84" s="23">
        <f t="shared" si="22"/>
        <v>0</v>
      </c>
      <c r="X84" s="23" t="e">
        <f t="shared" si="23"/>
        <v>#DIV/0!</v>
      </c>
      <c r="Y84" s="23">
        <f t="shared" si="24"/>
        <v>0</v>
      </c>
    </row>
    <row r="85" spans="1:25" hidden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22">
        <f t="shared" si="14"/>
        <v>0</v>
      </c>
      <c r="L85" s="22">
        <f t="shared" si="15"/>
        <v>0</v>
      </c>
      <c r="M85" s="33"/>
      <c r="N85" s="106">
        <f t="shared" si="16"/>
        <v>0</v>
      </c>
      <c r="O85" s="106">
        <f t="shared" si="17"/>
        <v>0</v>
      </c>
      <c r="P85" s="38"/>
      <c r="Q85" s="37">
        <f t="shared" si="18"/>
        <v>0</v>
      </c>
      <c r="R85" s="38"/>
      <c r="S85" s="38"/>
      <c r="T85" s="23">
        <f t="shared" si="19"/>
        <v>0</v>
      </c>
      <c r="U85" s="23">
        <f t="shared" si="20"/>
        <v>0</v>
      </c>
      <c r="V85" s="23">
        <f t="shared" si="21"/>
        <v>0</v>
      </c>
      <c r="W85" s="23">
        <f t="shared" si="22"/>
        <v>0</v>
      </c>
      <c r="X85" s="23" t="e">
        <f t="shared" si="23"/>
        <v>#DIV/0!</v>
      </c>
      <c r="Y85" s="23">
        <f t="shared" si="24"/>
        <v>0</v>
      </c>
    </row>
    <row r="86" spans="1:25" hidden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22">
        <f t="shared" si="14"/>
        <v>0</v>
      </c>
      <c r="L86" s="22">
        <f t="shared" si="15"/>
        <v>0</v>
      </c>
      <c r="M86" s="33"/>
      <c r="N86" s="106">
        <f t="shared" si="16"/>
        <v>0</v>
      </c>
      <c r="O86" s="106">
        <f t="shared" si="17"/>
        <v>0</v>
      </c>
      <c r="P86" s="38"/>
      <c r="Q86" s="37">
        <f t="shared" si="18"/>
        <v>0</v>
      </c>
      <c r="R86" s="38"/>
      <c r="S86" s="38"/>
      <c r="T86" s="23">
        <f t="shared" si="19"/>
        <v>0</v>
      </c>
      <c r="U86" s="23">
        <f t="shared" si="20"/>
        <v>0</v>
      </c>
      <c r="V86" s="23">
        <f t="shared" si="21"/>
        <v>0</v>
      </c>
      <c r="W86" s="23">
        <f t="shared" si="22"/>
        <v>0</v>
      </c>
      <c r="X86" s="23" t="e">
        <f t="shared" si="23"/>
        <v>#DIV/0!</v>
      </c>
      <c r="Y86" s="23">
        <f t="shared" si="24"/>
        <v>0</v>
      </c>
    </row>
    <row r="87" spans="1:25" hidden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22">
        <f t="shared" si="14"/>
        <v>0</v>
      </c>
      <c r="L87" s="22">
        <f t="shared" si="15"/>
        <v>0</v>
      </c>
      <c r="M87" s="33"/>
      <c r="N87" s="106">
        <f t="shared" si="16"/>
        <v>0</v>
      </c>
      <c r="O87" s="106">
        <f t="shared" si="17"/>
        <v>0</v>
      </c>
      <c r="P87" s="38"/>
      <c r="Q87" s="37">
        <f t="shared" si="18"/>
        <v>0</v>
      </c>
      <c r="R87" s="38"/>
      <c r="S87" s="38"/>
      <c r="T87" s="23">
        <f t="shared" si="19"/>
        <v>0</v>
      </c>
      <c r="U87" s="23">
        <f t="shared" si="20"/>
        <v>0</v>
      </c>
      <c r="V87" s="23">
        <f t="shared" si="21"/>
        <v>0</v>
      </c>
      <c r="W87" s="23">
        <f t="shared" si="22"/>
        <v>0</v>
      </c>
      <c r="X87" s="23" t="e">
        <f t="shared" si="23"/>
        <v>#DIV/0!</v>
      </c>
      <c r="Y87" s="23">
        <f t="shared" si="24"/>
        <v>0</v>
      </c>
    </row>
    <row r="88" spans="1:25" hidden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22">
        <f t="shared" si="14"/>
        <v>0</v>
      </c>
      <c r="L88" s="22">
        <f t="shared" si="15"/>
        <v>0</v>
      </c>
      <c r="M88" s="33"/>
      <c r="N88" s="106">
        <f t="shared" si="16"/>
        <v>0</v>
      </c>
      <c r="O88" s="106">
        <f t="shared" si="17"/>
        <v>0</v>
      </c>
      <c r="P88" s="38"/>
      <c r="Q88" s="37">
        <f t="shared" si="18"/>
        <v>0</v>
      </c>
      <c r="R88" s="38"/>
      <c r="S88" s="38"/>
      <c r="T88" s="23">
        <f t="shared" si="19"/>
        <v>0</v>
      </c>
      <c r="U88" s="23">
        <f t="shared" si="20"/>
        <v>0</v>
      </c>
      <c r="V88" s="23">
        <f t="shared" si="21"/>
        <v>0</v>
      </c>
      <c r="W88" s="23">
        <f t="shared" si="22"/>
        <v>0</v>
      </c>
      <c r="X88" s="23" t="e">
        <f t="shared" si="23"/>
        <v>#DIV/0!</v>
      </c>
      <c r="Y88" s="23">
        <f t="shared" si="24"/>
        <v>0</v>
      </c>
    </row>
    <row r="89" spans="1:25" hidden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22">
        <f t="shared" si="14"/>
        <v>0</v>
      </c>
      <c r="L89" s="22">
        <f t="shared" si="15"/>
        <v>0</v>
      </c>
      <c r="M89" s="33"/>
      <c r="N89" s="106">
        <f t="shared" si="16"/>
        <v>0</v>
      </c>
      <c r="O89" s="106">
        <f t="shared" si="17"/>
        <v>0</v>
      </c>
      <c r="P89" s="38"/>
      <c r="Q89" s="37">
        <f t="shared" si="18"/>
        <v>0</v>
      </c>
      <c r="R89" s="38"/>
      <c r="S89" s="38"/>
      <c r="T89" s="23">
        <f t="shared" si="19"/>
        <v>0</v>
      </c>
      <c r="U89" s="23">
        <f t="shared" si="20"/>
        <v>0</v>
      </c>
      <c r="V89" s="23">
        <f t="shared" si="21"/>
        <v>0</v>
      </c>
      <c r="W89" s="23">
        <f t="shared" si="22"/>
        <v>0</v>
      </c>
      <c r="X89" s="23" t="e">
        <f t="shared" si="23"/>
        <v>#DIV/0!</v>
      </c>
      <c r="Y89" s="23">
        <f t="shared" si="24"/>
        <v>0</v>
      </c>
    </row>
    <row r="90" spans="1:25" hidden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22">
        <f t="shared" si="14"/>
        <v>0</v>
      </c>
      <c r="L90" s="22">
        <f t="shared" si="15"/>
        <v>0</v>
      </c>
      <c r="M90" s="33"/>
      <c r="N90" s="106">
        <f t="shared" si="16"/>
        <v>0</v>
      </c>
      <c r="O90" s="106">
        <f t="shared" si="17"/>
        <v>0</v>
      </c>
      <c r="P90" s="38"/>
      <c r="Q90" s="37">
        <f t="shared" si="18"/>
        <v>0</v>
      </c>
      <c r="R90" s="38"/>
      <c r="S90" s="38"/>
      <c r="T90" s="23">
        <f t="shared" si="19"/>
        <v>0</v>
      </c>
      <c r="U90" s="23">
        <f t="shared" si="20"/>
        <v>0</v>
      </c>
      <c r="V90" s="23">
        <f t="shared" si="21"/>
        <v>0</v>
      </c>
      <c r="W90" s="23">
        <f t="shared" si="22"/>
        <v>0</v>
      </c>
      <c r="X90" s="23" t="e">
        <f t="shared" si="23"/>
        <v>#DIV/0!</v>
      </c>
      <c r="Y90" s="23">
        <f t="shared" si="24"/>
        <v>0</v>
      </c>
    </row>
    <row r="91" spans="1:25" hidden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22">
        <f t="shared" si="14"/>
        <v>0</v>
      </c>
      <c r="L91" s="22">
        <f t="shared" si="15"/>
        <v>0</v>
      </c>
      <c r="M91" s="33"/>
      <c r="N91" s="106">
        <f t="shared" si="16"/>
        <v>0</v>
      </c>
      <c r="O91" s="106">
        <f t="shared" si="17"/>
        <v>0</v>
      </c>
      <c r="P91" s="38"/>
      <c r="Q91" s="37">
        <f t="shared" si="18"/>
        <v>0</v>
      </c>
      <c r="R91" s="38"/>
      <c r="S91" s="38"/>
      <c r="T91" s="23">
        <f t="shared" si="19"/>
        <v>0</v>
      </c>
      <c r="U91" s="23">
        <f t="shared" si="20"/>
        <v>0</v>
      </c>
      <c r="V91" s="23">
        <f t="shared" si="21"/>
        <v>0</v>
      </c>
      <c r="W91" s="23">
        <f t="shared" si="22"/>
        <v>0</v>
      </c>
      <c r="X91" s="23" t="e">
        <f t="shared" si="23"/>
        <v>#DIV/0!</v>
      </c>
      <c r="Y91" s="23">
        <f t="shared" si="24"/>
        <v>0</v>
      </c>
    </row>
    <row r="92" spans="1:25" hidden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22">
        <f t="shared" si="14"/>
        <v>0</v>
      </c>
      <c r="L92" s="22">
        <f t="shared" si="15"/>
        <v>0</v>
      </c>
      <c r="M92" s="33"/>
      <c r="N92" s="106">
        <f t="shared" si="16"/>
        <v>0</v>
      </c>
      <c r="O92" s="106">
        <f t="shared" si="17"/>
        <v>0</v>
      </c>
      <c r="P92" s="38"/>
      <c r="Q92" s="37">
        <f t="shared" si="18"/>
        <v>0</v>
      </c>
      <c r="R92" s="38"/>
      <c r="S92" s="38"/>
      <c r="T92" s="23">
        <f t="shared" si="19"/>
        <v>0</v>
      </c>
      <c r="U92" s="23">
        <f t="shared" si="20"/>
        <v>0</v>
      </c>
      <c r="V92" s="23">
        <f t="shared" si="21"/>
        <v>0</v>
      </c>
      <c r="W92" s="23">
        <f t="shared" si="22"/>
        <v>0</v>
      </c>
      <c r="X92" s="23" t="e">
        <f t="shared" si="23"/>
        <v>#DIV/0!</v>
      </c>
      <c r="Y92" s="23">
        <f t="shared" si="24"/>
        <v>0</v>
      </c>
    </row>
    <row r="93" spans="1:25" hidden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22">
        <f t="shared" si="14"/>
        <v>0</v>
      </c>
      <c r="L93" s="22">
        <f t="shared" si="15"/>
        <v>0</v>
      </c>
      <c r="M93" s="33"/>
      <c r="N93" s="106">
        <f t="shared" si="16"/>
        <v>0</v>
      </c>
      <c r="O93" s="106">
        <f t="shared" si="17"/>
        <v>0</v>
      </c>
      <c r="P93" s="38"/>
      <c r="Q93" s="37">
        <f t="shared" si="18"/>
        <v>0</v>
      </c>
      <c r="R93" s="38"/>
      <c r="S93" s="38"/>
      <c r="T93" s="23">
        <f t="shared" si="19"/>
        <v>0</v>
      </c>
      <c r="U93" s="23">
        <f t="shared" si="20"/>
        <v>0</v>
      </c>
      <c r="V93" s="23">
        <f t="shared" si="21"/>
        <v>0</v>
      </c>
      <c r="W93" s="23">
        <f t="shared" si="22"/>
        <v>0</v>
      </c>
      <c r="X93" s="23" t="e">
        <f t="shared" si="23"/>
        <v>#DIV/0!</v>
      </c>
      <c r="Y93" s="23">
        <f t="shared" si="24"/>
        <v>0</v>
      </c>
    </row>
    <row r="94" spans="1:25" hidden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22">
        <f t="shared" si="14"/>
        <v>0</v>
      </c>
      <c r="L94" s="22">
        <f t="shared" si="15"/>
        <v>0</v>
      </c>
      <c r="M94" s="33"/>
      <c r="N94" s="106">
        <f t="shared" si="16"/>
        <v>0</v>
      </c>
      <c r="O94" s="106">
        <f t="shared" si="17"/>
        <v>0</v>
      </c>
      <c r="P94" s="38"/>
      <c r="Q94" s="37">
        <f t="shared" si="18"/>
        <v>0</v>
      </c>
      <c r="R94" s="38"/>
      <c r="S94" s="38"/>
      <c r="T94" s="23">
        <f t="shared" si="19"/>
        <v>0</v>
      </c>
      <c r="U94" s="23">
        <f t="shared" si="20"/>
        <v>0</v>
      </c>
      <c r="V94" s="23">
        <f t="shared" si="21"/>
        <v>0</v>
      </c>
      <c r="W94" s="23">
        <f t="shared" si="22"/>
        <v>0</v>
      </c>
      <c r="X94" s="23" t="e">
        <f t="shared" si="23"/>
        <v>#DIV/0!</v>
      </c>
      <c r="Y94" s="23">
        <f t="shared" si="24"/>
        <v>0</v>
      </c>
    </row>
    <row r="95" spans="1:25" hidden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22">
        <f t="shared" si="14"/>
        <v>0</v>
      </c>
      <c r="L95" s="22">
        <f t="shared" si="15"/>
        <v>0</v>
      </c>
      <c r="M95" s="33"/>
      <c r="N95" s="106">
        <f t="shared" si="16"/>
        <v>0</v>
      </c>
      <c r="O95" s="106">
        <f t="shared" si="17"/>
        <v>0</v>
      </c>
      <c r="P95" s="38"/>
      <c r="Q95" s="37">
        <f t="shared" si="18"/>
        <v>0</v>
      </c>
      <c r="R95" s="38"/>
      <c r="S95" s="38"/>
      <c r="T95" s="23">
        <f t="shared" si="19"/>
        <v>0</v>
      </c>
      <c r="U95" s="23">
        <f t="shared" si="20"/>
        <v>0</v>
      </c>
      <c r="V95" s="23">
        <f t="shared" si="21"/>
        <v>0</v>
      </c>
      <c r="W95" s="23">
        <f t="shared" si="22"/>
        <v>0</v>
      </c>
      <c r="X95" s="23" t="e">
        <f t="shared" si="23"/>
        <v>#DIV/0!</v>
      </c>
      <c r="Y95" s="23">
        <f t="shared" si="24"/>
        <v>0</v>
      </c>
    </row>
    <row r="96" spans="1:25" hidden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22">
        <f t="shared" si="14"/>
        <v>0</v>
      </c>
      <c r="L96" s="22">
        <f t="shared" si="15"/>
        <v>0</v>
      </c>
      <c r="M96" s="33"/>
      <c r="N96" s="106">
        <f t="shared" si="16"/>
        <v>0</v>
      </c>
      <c r="O96" s="106">
        <f t="shared" si="17"/>
        <v>0</v>
      </c>
      <c r="P96" s="38"/>
      <c r="Q96" s="37">
        <f t="shared" si="18"/>
        <v>0</v>
      </c>
      <c r="R96" s="38"/>
      <c r="S96" s="38"/>
      <c r="T96" s="23">
        <f t="shared" si="19"/>
        <v>0</v>
      </c>
      <c r="U96" s="23">
        <f t="shared" si="20"/>
        <v>0</v>
      </c>
      <c r="V96" s="23">
        <f t="shared" si="21"/>
        <v>0</v>
      </c>
      <c r="W96" s="23">
        <f t="shared" si="22"/>
        <v>0</v>
      </c>
      <c r="X96" s="23" t="e">
        <f t="shared" si="23"/>
        <v>#DIV/0!</v>
      </c>
      <c r="Y96" s="23">
        <f t="shared" si="24"/>
        <v>0</v>
      </c>
    </row>
    <row r="97" spans="1:25" hidden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22">
        <f t="shared" si="14"/>
        <v>0</v>
      </c>
      <c r="L97" s="22">
        <f t="shared" si="15"/>
        <v>0</v>
      </c>
      <c r="M97" s="33"/>
      <c r="N97" s="106">
        <f t="shared" si="16"/>
        <v>0</v>
      </c>
      <c r="O97" s="106">
        <f t="shared" si="17"/>
        <v>0</v>
      </c>
      <c r="P97" s="38"/>
      <c r="Q97" s="37">
        <f t="shared" si="18"/>
        <v>0</v>
      </c>
      <c r="R97" s="38"/>
      <c r="S97" s="38"/>
      <c r="T97" s="23">
        <f t="shared" si="19"/>
        <v>0</v>
      </c>
      <c r="U97" s="23">
        <f t="shared" si="20"/>
        <v>0</v>
      </c>
      <c r="V97" s="23">
        <f t="shared" si="21"/>
        <v>0</v>
      </c>
      <c r="W97" s="23">
        <f t="shared" si="22"/>
        <v>0</v>
      </c>
      <c r="X97" s="23" t="e">
        <f t="shared" si="23"/>
        <v>#DIV/0!</v>
      </c>
      <c r="Y97" s="23">
        <f t="shared" si="24"/>
        <v>0</v>
      </c>
    </row>
    <row r="98" spans="1:25" hidden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22">
        <f t="shared" si="14"/>
        <v>0</v>
      </c>
      <c r="L98" s="22">
        <f t="shared" si="15"/>
        <v>0</v>
      </c>
      <c r="M98" s="33"/>
      <c r="N98" s="106">
        <f t="shared" si="16"/>
        <v>0</v>
      </c>
      <c r="O98" s="106">
        <f t="shared" si="17"/>
        <v>0</v>
      </c>
      <c r="P98" s="38"/>
      <c r="Q98" s="37">
        <f t="shared" si="18"/>
        <v>0</v>
      </c>
      <c r="R98" s="38"/>
      <c r="S98" s="38"/>
      <c r="T98" s="23">
        <f t="shared" si="19"/>
        <v>0</v>
      </c>
      <c r="U98" s="23">
        <f t="shared" si="20"/>
        <v>0</v>
      </c>
      <c r="V98" s="23">
        <f t="shared" si="21"/>
        <v>0</v>
      </c>
      <c r="W98" s="23">
        <f t="shared" si="22"/>
        <v>0</v>
      </c>
      <c r="X98" s="23" t="e">
        <f t="shared" si="23"/>
        <v>#DIV/0!</v>
      </c>
      <c r="Y98" s="23">
        <f t="shared" si="24"/>
        <v>0</v>
      </c>
    </row>
    <row r="99" spans="1:25" hidden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22">
        <f t="shared" si="14"/>
        <v>0</v>
      </c>
      <c r="L99" s="22">
        <f t="shared" si="15"/>
        <v>0</v>
      </c>
      <c r="M99" s="33"/>
      <c r="N99" s="106">
        <f t="shared" si="16"/>
        <v>0</v>
      </c>
      <c r="O99" s="106">
        <f t="shared" si="17"/>
        <v>0</v>
      </c>
      <c r="P99" s="38"/>
      <c r="Q99" s="37">
        <f t="shared" si="18"/>
        <v>0</v>
      </c>
      <c r="R99" s="38"/>
      <c r="S99" s="38"/>
      <c r="T99" s="23">
        <f t="shared" si="19"/>
        <v>0</v>
      </c>
      <c r="U99" s="23">
        <f t="shared" si="20"/>
        <v>0</v>
      </c>
      <c r="V99" s="23">
        <f t="shared" si="21"/>
        <v>0</v>
      </c>
      <c r="W99" s="23">
        <f t="shared" si="22"/>
        <v>0</v>
      </c>
      <c r="X99" s="23" t="e">
        <f t="shared" si="23"/>
        <v>#DIV/0!</v>
      </c>
      <c r="Y99" s="23">
        <f t="shared" si="24"/>
        <v>0</v>
      </c>
    </row>
    <row r="100" spans="1:25" hidden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22">
        <f t="shared" si="14"/>
        <v>0</v>
      </c>
      <c r="L100" s="22">
        <f t="shared" si="15"/>
        <v>0</v>
      </c>
      <c r="M100" s="33"/>
      <c r="N100" s="106">
        <f t="shared" si="16"/>
        <v>0</v>
      </c>
      <c r="O100" s="106">
        <f t="shared" si="17"/>
        <v>0</v>
      </c>
      <c r="P100" s="38"/>
      <c r="Q100" s="37">
        <f t="shared" si="18"/>
        <v>0</v>
      </c>
      <c r="R100" s="38"/>
      <c r="S100" s="38"/>
      <c r="T100" s="23">
        <f t="shared" si="19"/>
        <v>0</v>
      </c>
      <c r="U100" s="23">
        <f t="shared" si="20"/>
        <v>0</v>
      </c>
      <c r="V100" s="23">
        <f t="shared" si="21"/>
        <v>0</v>
      </c>
      <c r="W100" s="23">
        <f t="shared" si="22"/>
        <v>0</v>
      </c>
      <c r="X100" s="23" t="e">
        <f t="shared" si="23"/>
        <v>#DIV/0!</v>
      </c>
      <c r="Y100" s="23">
        <f t="shared" si="24"/>
        <v>0</v>
      </c>
    </row>
    <row r="101" spans="1:25" hidden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22">
        <f t="shared" si="14"/>
        <v>0</v>
      </c>
      <c r="L101" s="22">
        <f t="shared" si="15"/>
        <v>0</v>
      </c>
      <c r="M101" s="33"/>
      <c r="N101" s="106">
        <f t="shared" si="16"/>
        <v>0</v>
      </c>
      <c r="O101" s="106">
        <f t="shared" si="17"/>
        <v>0</v>
      </c>
      <c r="P101" s="38"/>
      <c r="Q101" s="37">
        <f t="shared" si="18"/>
        <v>0</v>
      </c>
      <c r="R101" s="38"/>
      <c r="S101" s="38"/>
      <c r="T101" s="23">
        <f t="shared" si="19"/>
        <v>0</v>
      </c>
      <c r="U101" s="23">
        <f t="shared" si="20"/>
        <v>0</v>
      </c>
      <c r="V101" s="23">
        <f t="shared" si="21"/>
        <v>0</v>
      </c>
      <c r="W101" s="23">
        <f t="shared" si="22"/>
        <v>0</v>
      </c>
      <c r="X101" s="23" t="e">
        <f t="shared" si="23"/>
        <v>#DIV/0!</v>
      </c>
      <c r="Y101" s="23">
        <f t="shared" si="24"/>
        <v>0</v>
      </c>
    </row>
    <row r="102" spans="1:25" hidden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22">
        <f t="shared" si="14"/>
        <v>0</v>
      </c>
      <c r="L102" s="22">
        <f t="shared" si="15"/>
        <v>0</v>
      </c>
      <c r="M102" s="33"/>
      <c r="N102" s="106">
        <f t="shared" si="16"/>
        <v>0</v>
      </c>
      <c r="O102" s="106">
        <f t="shared" si="17"/>
        <v>0</v>
      </c>
      <c r="P102" s="38"/>
      <c r="Q102" s="37">
        <f t="shared" si="18"/>
        <v>0</v>
      </c>
      <c r="R102" s="38"/>
      <c r="S102" s="38"/>
      <c r="T102" s="23">
        <f t="shared" si="19"/>
        <v>0</v>
      </c>
      <c r="U102" s="23">
        <f t="shared" si="20"/>
        <v>0</v>
      </c>
      <c r="V102" s="23">
        <f t="shared" si="21"/>
        <v>0</v>
      </c>
      <c r="W102" s="23">
        <f t="shared" si="22"/>
        <v>0</v>
      </c>
      <c r="X102" s="23" t="e">
        <f t="shared" si="23"/>
        <v>#DIV/0!</v>
      </c>
      <c r="Y102" s="23">
        <f t="shared" si="24"/>
        <v>0</v>
      </c>
    </row>
    <row r="103" spans="1:25" hidden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22">
        <f t="shared" si="14"/>
        <v>0</v>
      </c>
      <c r="L103" s="22">
        <f t="shared" si="15"/>
        <v>0</v>
      </c>
      <c r="M103" s="33"/>
      <c r="N103" s="106">
        <f t="shared" si="16"/>
        <v>0</v>
      </c>
      <c r="O103" s="106">
        <f t="shared" si="17"/>
        <v>0</v>
      </c>
      <c r="P103" s="38"/>
      <c r="Q103" s="37">
        <f t="shared" si="18"/>
        <v>0</v>
      </c>
      <c r="R103" s="38"/>
      <c r="S103" s="38"/>
      <c r="T103" s="23">
        <f t="shared" si="19"/>
        <v>0</v>
      </c>
      <c r="U103" s="23">
        <f t="shared" si="20"/>
        <v>0</v>
      </c>
      <c r="V103" s="23">
        <f t="shared" si="21"/>
        <v>0</v>
      </c>
      <c r="W103" s="23">
        <f t="shared" si="22"/>
        <v>0</v>
      </c>
      <c r="X103" s="23" t="e">
        <f t="shared" si="23"/>
        <v>#DIV/0!</v>
      </c>
      <c r="Y103" s="23">
        <f t="shared" si="24"/>
        <v>0</v>
      </c>
    </row>
    <row r="104" spans="1:25" hidden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22">
        <f t="shared" si="14"/>
        <v>0</v>
      </c>
      <c r="L104" s="22">
        <f t="shared" si="15"/>
        <v>0</v>
      </c>
      <c r="M104" s="33"/>
      <c r="N104" s="106">
        <f t="shared" si="16"/>
        <v>0</v>
      </c>
      <c r="O104" s="106">
        <f t="shared" si="17"/>
        <v>0</v>
      </c>
      <c r="P104" s="38"/>
      <c r="Q104" s="37">
        <f t="shared" si="18"/>
        <v>0</v>
      </c>
      <c r="R104" s="38"/>
      <c r="S104" s="38"/>
      <c r="T104" s="23">
        <f t="shared" si="19"/>
        <v>0</v>
      </c>
      <c r="U104" s="23">
        <f t="shared" si="20"/>
        <v>0</v>
      </c>
      <c r="V104" s="23">
        <f t="shared" si="21"/>
        <v>0</v>
      </c>
      <c r="W104" s="23">
        <f t="shared" si="22"/>
        <v>0</v>
      </c>
      <c r="X104" s="23" t="e">
        <f t="shared" si="23"/>
        <v>#DIV/0!</v>
      </c>
      <c r="Y104" s="23">
        <f t="shared" si="24"/>
        <v>0</v>
      </c>
    </row>
    <row r="105" spans="1:25" hidden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22">
        <f t="shared" si="14"/>
        <v>0</v>
      </c>
      <c r="L105" s="22">
        <f t="shared" si="15"/>
        <v>0</v>
      </c>
      <c r="M105" s="33"/>
      <c r="N105" s="106">
        <f t="shared" si="16"/>
        <v>0</v>
      </c>
      <c r="O105" s="106">
        <f t="shared" si="17"/>
        <v>0</v>
      </c>
      <c r="P105" s="38"/>
      <c r="Q105" s="37">
        <f t="shared" si="18"/>
        <v>0</v>
      </c>
      <c r="R105" s="38"/>
      <c r="S105" s="38"/>
      <c r="T105" s="23">
        <f t="shared" si="19"/>
        <v>0</v>
      </c>
      <c r="U105" s="23">
        <f t="shared" si="20"/>
        <v>0</v>
      </c>
      <c r="V105" s="23">
        <f t="shared" si="21"/>
        <v>0</v>
      </c>
      <c r="W105" s="23">
        <f t="shared" si="22"/>
        <v>0</v>
      </c>
      <c r="X105" s="23" t="e">
        <f t="shared" si="23"/>
        <v>#DIV/0!</v>
      </c>
      <c r="Y105" s="23">
        <f t="shared" si="24"/>
        <v>0</v>
      </c>
    </row>
    <row r="106" spans="1:25" hidden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22">
        <f t="shared" si="14"/>
        <v>0</v>
      </c>
      <c r="L106" s="22">
        <f t="shared" si="15"/>
        <v>0</v>
      </c>
      <c r="M106" s="33"/>
      <c r="N106" s="106">
        <f t="shared" si="16"/>
        <v>0</v>
      </c>
      <c r="O106" s="106">
        <f t="shared" si="17"/>
        <v>0</v>
      </c>
      <c r="P106" s="38"/>
      <c r="Q106" s="37">
        <f t="shared" si="18"/>
        <v>0</v>
      </c>
      <c r="R106" s="38"/>
      <c r="S106" s="38"/>
      <c r="T106" s="23">
        <f t="shared" si="19"/>
        <v>0</v>
      </c>
      <c r="U106" s="23">
        <f t="shared" si="20"/>
        <v>0</v>
      </c>
      <c r="V106" s="23">
        <f t="shared" si="21"/>
        <v>0</v>
      </c>
      <c r="W106" s="23">
        <f t="shared" si="22"/>
        <v>0</v>
      </c>
      <c r="X106" s="23" t="e">
        <f t="shared" si="23"/>
        <v>#DIV/0!</v>
      </c>
      <c r="Y106" s="23">
        <f t="shared" si="24"/>
        <v>0</v>
      </c>
    </row>
    <row r="107" spans="1:25" hidden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22">
        <f t="shared" si="14"/>
        <v>0</v>
      </c>
      <c r="L107" s="22">
        <f t="shared" si="15"/>
        <v>0</v>
      </c>
      <c r="M107" s="33"/>
      <c r="N107" s="106">
        <f t="shared" si="16"/>
        <v>0</v>
      </c>
      <c r="O107" s="106">
        <f t="shared" si="17"/>
        <v>0</v>
      </c>
      <c r="P107" s="38"/>
      <c r="Q107" s="37">
        <f t="shared" si="18"/>
        <v>0</v>
      </c>
      <c r="R107" s="38"/>
      <c r="S107" s="38"/>
      <c r="T107" s="23">
        <f t="shared" si="19"/>
        <v>0</v>
      </c>
      <c r="U107" s="23">
        <f t="shared" si="20"/>
        <v>0</v>
      </c>
      <c r="V107" s="23">
        <f t="shared" si="21"/>
        <v>0</v>
      </c>
      <c r="W107" s="23">
        <f t="shared" si="22"/>
        <v>0</v>
      </c>
      <c r="X107" s="23" t="e">
        <f t="shared" si="23"/>
        <v>#DIV/0!</v>
      </c>
      <c r="Y107" s="23">
        <f t="shared" si="24"/>
        <v>0</v>
      </c>
    </row>
    <row r="108" spans="1:25" hidden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22">
        <f t="shared" si="14"/>
        <v>0</v>
      </c>
      <c r="L108" s="22">
        <f t="shared" si="15"/>
        <v>0</v>
      </c>
      <c r="M108" s="33"/>
      <c r="N108" s="106">
        <f t="shared" si="16"/>
        <v>0</v>
      </c>
      <c r="O108" s="106">
        <f t="shared" si="17"/>
        <v>0</v>
      </c>
      <c r="P108" s="38"/>
      <c r="Q108" s="37">
        <f t="shared" si="18"/>
        <v>0</v>
      </c>
      <c r="R108" s="38"/>
      <c r="S108" s="38"/>
      <c r="T108" s="23">
        <f t="shared" si="19"/>
        <v>0</v>
      </c>
      <c r="U108" s="23">
        <f t="shared" si="20"/>
        <v>0</v>
      </c>
      <c r="V108" s="23">
        <f t="shared" si="21"/>
        <v>0</v>
      </c>
      <c r="W108" s="23">
        <f t="shared" si="22"/>
        <v>0</v>
      </c>
      <c r="X108" s="23" t="e">
        <f t="shared" si="23"/>
        <v>#DIV/0!</v>
      </c>
      <c r="Y108" s="23">
        <f t="shared" si="24"/>
        <v>0</v>
      </c>
    </row>
    <row r="109" spans="1:25" hidden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22">
        <f t="shared" si="14"/>
        <v>0</v>
      </c>
      <c r="L109" s="22">
        <f t="shared" si="15"/>
        <v>0</v>
      </c>
      <c r="M109" s="33"/>
      <c r="N109" s="106">
        <f t="shared" si="16"/>
        <v>0</v>
      </c>
      <c r="O109" s="106">
        <f t="shared" si="17"/>
        <v>0</v>
      </c>
      <c r="P109" s="38"/>
      <c r="Q109" s="37">
        <f t="shared" si="18"/>
        <v>0</v>
      </c>
      <c r="R109" s="38"/>
      <c r="S109" s="38"/>
      <c r="T109" s="23">
        <f t="shared" si="19"/>
        <v>0</v>
      </c>
      <c r="U109" s="23">
        <f t="shared" si="20"/>
        <v>0</v>
      </c>
      <c r="V109" s="23">
        <f t="shared" si="21"/>
        <v>0</v>
      </c>
      <c r="W109" s="23">
        <f t="shared" si="22"/>
        <v>0</v>
      </c>
      <c r="X109" s="23" t="e">
        <f t="shared" si="23"/>
        <v>#DIV/0!</v>
      </c>
      <c r="Y109" s="23">
        <f t="shared" si="24"/>
        <v>0</v>
      </c>
    </row>
    <row r="110" spans="1:25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22">
        <f t="shared" si="14"/>
        <v>0</v>
      </c>
      <c r="L110" s="22">
        <f t="shared" si="15"/>
        <v>0</v>
      </c>
      <c r="M110" s="33"/>
      <c r="N110" s="106">
        <f t="shared" si="16"/>
        <v>0</v>
      </c>
      <c r="O110" s="106">
        <f t="shared" si="17"/>
        <v>0</v>
      </c>
      <c r="P110" s="38"/>
      <c r="Q110" s="37">
        <f t="shared" si="18"/>
        <v>0</v>
      </c>
      <c r="R110" s="38"/>
      <c r="S110" s="38"/>
      <c r="T110" s="23">
        <f t="shared" si="19"/>
        <v>0</v>
      </c>
      <c r="U110" s="23">
        <f t="shared" si="20"/>
        <v>0</v>
      </c>
      <c r="V110" s="23">
        <f t="shared" si="21"/>
        <v>0</v>
      </c>
      <c r="W110" s="23">
        <f t="shared" si="22"/>
        <v>0</v>
      </c>
      <c r="X110" s="23" t="e">
        <f t="shared" si="23"/>
        <v>#DIV/0!</v>
      </c>
      <c r="Y110" s="23">
        <f t="shared" si="24"/>
        <v>0</v>
      </c>
    </row>
    <row r="111" spans="1:25" x14ac:dyDescent="0.25">
      <c r="A111" s="1" t="s">
        <v>1</v>
      </c>
      <c r="B111" s="1">
        <f>SUM(B7:B110)</f>
        <v>13594</v>
      </c>
      <c r="C111" s="1">
        <f>SUM(C7:C110)</f>
        <v>0</v>
      </c>
      <c r="D111" s="1"/>
      <c r="E111" s="24">
        <f>SUM(E7:E110)</f>
        <v>620</v>
      </c>
      <c r="F111" s="24">
        <f>SUM(F7:F110)</f>
        <v>0</v>
      </c>
      <c r="G111" s="24">
        <f>SUM(G7:G110)</f>
        <v>0</v>
      </c>
      <c r="H111" s="24">
        <f>SUM(H7:H110)</f>
        <v>0</v>
      </c>
      <c r="I111" s="24">
        <f>SUM(I7:I110)</f>
        <v>0</v>
      </c>
      <c r="J111" s="24"/>
      <c r="K111" s="24">
        <f>SUM(K7:K110)</f>
        <v>39351</v>
      </c>
      <c r="L111" s="24">
        <f>SUM(L7:L110)</f>
        <v>0</v>
      </c>
      <c r="M111" s="24"/>
      <c r="N111" s="107">
        <f>SUM(N7:N110)</f>
        <v>0</v>
      </c>
      <c r="O111" s="107">
        <f>SUM(O7:O110)</f>
        <v>0</v>
      </c>
      <c r="P111" s="24"/>
      <c r="Q111" s="24"/>
      <c r="R111" s="24"/>
      <c r="S111" s="25"/>
      <c r="T111" s="25">
        <f>SUM(T7:T110)</f>
        <v>210488499</v>
      </c>
      <c r="U111" s="25">
        <f>SUM(U7:U110)</f>
        <v>0</v>
      </c>
      <c r="V111" s="25">
        <f>SUM(V7:V110)</f>
        <v>0</v>
      </c>
      <c r="W111" s="25">
        <f>SUM(W7:W110)</f>
        <v>0</v>
      </c>
      <c r="X111" s="28">
        <f>SUM(Y111/K111)</f>
        <v>5349</v>
      </c>
      <c r="Y111" s="25">
        <f>SUM(Y7:Y110)</f>
        <v>210488499</v>
      </c>
    </row>
    <row r="112" spans="1:25" x14ac:dyDescent="0.25">
      <c r="A112" s="93" t="s">
        <v>91</v>
      </c>
      <c r="B112" s="93">
        <f>SUM(B111+K111+L111)</f>
        <v>52945</v>
      </c>
      <c r="C112" s="93"/>
      <c r="D112" s="91"/>
      <c r="E112" s="91"/>
      <c r="F112" s="91"/>
      <c r="G112" s="91"/>
      <c r="H112" s="91"/>
      <c r="I112" s="91"/>
      <c r="J112" s="91"/>
      <c r="K112" s="142">
        <f>SUM(K111+L111)</f>
        <v>39351</v>
      </c>
      <c r="L112" s="91"/>
      <c r="M112" s="91"/>
      <c r="N112" s="91"/>
      <c r="O112" s="91"/>
      <c r="P112" s="91"/>
      <c r="Q112" s="91"/>
      <c r="R112" s="91"/>
      <c r="S112" s="91"/>
    </row>
    <row r="113" spans="1:19" ht="18.75" x14ac:dyDescent="0.3">
      <c r="A113" s="93" t="s">
        <v>195</v>
      </c>
      <c r="B113" s="93">
        <f>SUM(E111:I111)</f>
        <v>620</v>
      </c>
      <c r="C113" s="91"/>
      <c r="D113" s="91"/>
      <c r="E113" s="91"/>
      <c r="F113" s="91"/>
      <c r="G113" s="91"/>
      <c r="H113" s="91"/>
      <c r="I113" s="91"/>
      <c r="J113" s="108" t="s">
        <v>15</v>
      </c>
      <c r="K113" s="91"/>
      <c r="L113" s="91"/>
      <c r="M113" s="91"/>
      <c r="N113" s="91"/>
      <c r="O113" s="91"/>
      <c r="P113" s="91"/>
      <c r="Q113" s="91"/>
      <c r="R113" s="91"/>
      <c r="S113" s="91"/>
    </row>
    <row r="114" spans="1:19" ht="18.75" x14ac:dyDescent="0.3">
      <c r="A114" s="109" t="s">
        <v>30</v>
      </c>
      <c r="B114" s="109"/>
      <c r="C114" s="109"/>
      <c r="D114" s="109"/>
      <c r="E114" s="110"/>
      <c r="F114" s="110"/>
      <c r="G114" s="110"/>
      <c r="H114" s="110"/>
      <c r="I114" s="110"/>
      <c r="J114" s="100">
        <f>SUM(V111)</f>
        <v>0</v>
      </c>
      <c r="K114" s="91"/>
      <c r="L114" s="91"/>
      <c r="M114" s="91"/>
      <c r="N114" s="91"/>
      <c r="O114" s="91"/>
      <c r="P114" s="91"/>
      <c r="Q114" s="91"/>
      <c r="R114" s="91"/>
      <c r="S114" s="91"/>
    </row>
    <row r="115" spans="1:19" x14ac:dyDescent="0.25">
      <c r="A115" s="110"/>
      <c r="B115" s="110"/>
      <c r="C115" s="110"/>
      <c r="D115" s="110"/>
      <c r="E115" s="110"/>
      <c r="F115" s="110"/>
      <c r="G115" s="110"/>
      <c r="H115" s="110"/>
      <c r="I115" s="110"/>
      <c r="J115" s="100"/>
      <c r="K115" s="91"/>
      <c r="L115" s="91"/>
      <c r="M115" s="91"/>
      <c r="N115" s="91"/>
      <c r="O115" s="91"/>
      <c r="P115" s="91"/>
      <c r="Q115" s="91"/>
      <c r="R115" s="91"/>
      <c r="S115" s="91"/>
    </row>
    <row r="116" spans="1:19" ht="18.75" x14ac:dyDescent="0.3">
      <c r="A116" s="109" t="s">
        <v>103</v>
      </c>
      <c r="B116" s="109"/>
      <c r="C116" s="109"/>
      <c r="D116" s="109"/>
      <c r="E116" s="110"/>
      <c r="F116" s="110"/>
      <c r="G116" s="110"/>
      <c r="H116" s="110"/>
      <c r="I116" s="110"/>
      <c r="J116" s="100">
        <f>SUM(U111)</f>
        <v>0</v>
      </c>
      <c r="K116" s="91"/>
      <c r="L116" s="91"/>
      <c r="M116" s="91"/>
      <c r="N116" s="91"/>
      <c r="O116" s="91"/>
      <c r="P116" s="91"/>
      <c r="Q116" s="91"/>
      <c r="R116" s="91"/>
      <c r="S116" s="91"/>
    </row>
    <row r="117" spans="1:19" x14ac:dyDescent="0.25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</row>
    <row r="118" spans="1:19" ht="18.75" x14ac:dyDescent="0.3">
      <c r="A118" s="109" t="s">
        <v>59</v>
      </c>
      <c r="B118" s="109"/>
      <c r="C118" s="109"/>
      <c r="D118" s="109"/>
      <c r="E118" s="110"/>
      <c r="F118" s="110"/>
      <c r="G118" s="110"/>
      <c r="H118" s="110"/>
      <c r="I118" s="110"/>
      <c r="J118" s="95">
        <f>SUM(W111)</f>
        <v>0</v>
      </c>
      <c r="K118" s="91"/>
      <c r="L118" s="100" t="e">
        <f>SUM(J118/S118)</f>
        <v>#DIV/0!</v>
      </c>
      <c r="M118" s="91" t="s">
        <v>64</v>
      </c>
      <c r="N118" s="91"/>
      <c r="O118" s="91"/>
      <c r="P118" s="91"/>
      <c r="Q118" s="91" t="s">
        <v>81</v>
      </c>
      <c r="R118" s="91"/>
      <c r="S118" s="91">
        <f>SUM(L111)</f>
        <v>0</v>
      </c>
    </row>
    <row r="119" spans="1:19" x14ac:dyDescent="0.25">
      <c r="A119" s="110"/>
      <c r="B119" s="110"/>
      <c r="C119" s="110"/>
      <c r="D119" s="110"/>
      <c r="E119" s="110"/>
      <c r="F119" s="110"/>
      <c r="G119" s="110"/>
      <c r="H119" s="110"/>
      <c r="I119" s="110"/>
      <c r="J119" s="91"/>
      <c r="K119" s="91"/>
      <c r="L119" s="91"/>
      <c r="M119" s="91"/>
      <c r="N119" s="91"/>
      <c r="O119" s="91"/>
      <c r="P119" s="91"/>
      <c r="Q119" s="91"/>
      <c r="R119" s="91"/>
      <c r="S119" s="91"/>
    </row>
    <row r="120" spans="1:19" x14ac:dyDescent="0.25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</row>
    <row r="121" spans="1:19" ht="18.75" x14ac:dyDescent="0.3">
      <c r="A121" s="109" t="s">
        <v>60</v>
      </c>
      <c r="B121" s="109"/>
      <c r="C121" s="109"/>
      <c r="D121" s="110"/>
      <c r="E121" s="110"/>
      <c r="F121" s="110"/>
      <c r="G121" s="110"/>
      <c r="H121" s="110"/>
      <c r="I121" s="110"/>
      <c r="J121" s="100">
        <f>SUM(T111)</f>
        <v>210488499</v>
      </c>
      <c r="K121" s="111"/>
      <c r="L121" s="100">
        <f>SUM(J121/K111)</f>
        <v>5349</v>
      </c>
      <c r="M121" s="91" t="s">
        <v>64</v>
      </c>
      <c r="N121" s="91"/>
      <c r="O121" s="112">
        <f>SUM(L121/10.764)</f>
        <v>496.93422519509477</v>
      </c>
      <c r="P121" s="91"/>
      <c r="Q121" s="91" t="s">
        <v>80</v>
      </c>
      <c r="R121" s="91"/>
      <c r="S121" s="91">
        <f>SUM(K111)</f>
        <v>39351</v>
      </c>
    </row>
    <row r="122" spans="1:19" x14ac:dyDescent="0.25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</row>
    <row r="123" spans="1:19" ht="18.75" x14ac:dyDescent="0.3">
      <c r="A123" s="109" t="s">
        <v>53</v>
      </c>
      <c r="B123" s="109"/>
      <c r="C123" s="109"/>
      <c r="D123" s="109"/>
      <c r="E123" s="109"/>
      <c r="F123" s="109"/>
      <c r="G123" s="109"/>
      <c r="H123" s="109"/>
      <c r="I123" s="109"/>
      <c r="J123" s="113">
        <f>SUM(J118:J121)</f>
        <v>210488499</v>
      </c>
      <c r="K123" s="91"/>
      <c r="L123" s="91"/>
      <c r="M123" s="91"/>
      <c r="N123" s="91"/>
      <c r="O123" s="91"/>
      <c r="P123" s="91"/>
      <c r="Q123" s="91"/>
      <c r="R123" s="91"/>
      <c r="S123" s="91"/>
    </row>
    <row r="124" spans="1:19" x14ac:dyDescent="0.25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</row>
    <row r="125" spans="1:19" ht="18.75" x14ac:dyDescent="0.3">
      <c r="A125" s="114" t="s">
        <v>96</v>
      </c>
      <c r="B125" s="110"/>
      <c r="C125" s="110"/>
      <c r="D125" s="91"/>
      <c r="E125" s="91"/>
      <c r="F125" s="91"/>
      <c r="G125" s="91"/>
      <c r="H125" s="91"/>
      <c r="I125" s="91"/>
      <c r="J125" s="114" t="s">
        <v>176</v>
      </c>
      <c r="K125" s="110"/>
      <c r="L125" s="110"/>
      <c r="M125" s="91"/>
      <c r="N125" s="91"/>
      <c r="O125" s="91"/>
      <c r="P125" s="91"/>
      <c r="Q125" s="91"/>
      <c r="R125" s="91"/>
      <c r="S125" s="91"/>
    </row>
    <row r="126" spans="1:19" x14ac:dyDescent="0.25">
      <c r="J126" s="91"/>
      <c r="K126" s="91"/>
      <c r="L126" s="91"/>
    </row>
    <row r="127" spans="1:19" x14ac:dyDescent="0.25">
      <c r="A127" s="93" t="s">
        <v>97</v>
      </c>
      <c r="B127" s="91"/>
      <c r="C127" s="91"/>
      <c r="D127" s="91"/>
      <c r="E127" s="29"/>
      <c r="F127" s="36">
        <v>620</v>
      </c>
      <c r="J127" s="93" t="s">
        <v>177</v>
      </c>
      <c r="K127" s="91"/>
      <c r="L127" s="91"/>
      <c r="M127" s="32">
        <v>70</v>
      </c>
    </row>
    <row r="128" spans="1:19" x14ac:dyDescent="0.25">
      <c r="A128" s="91"/>
      <c r="B128" s="91"/>
      <c r="C128" s="91"/>
      <c r="D128" s="91"/>
      <c r="E128" s="29"/>
      <c r="J128" s="91"/>
      <c r="K128" s="91"/>
      <c r="L128" s="91"/>
      <c r="M128" s="135"/>
    </row>
    <row r="129" spans="1:14" x14ac:dyDescent="0.25">
      <c r="A129" s="93" t="s">
        <v>98</v>
      </c>
      <c r="B129" s="91"/>
      <c r="C129" s="91"/>
      <c r="D129" s="91"/>
      <c r="E129" s="29"/>
      <c r="F129" s="32">
        <v>300</v>
      </c>
      <c r="J129" s="93" t="s">
        <v>178</v>
      </c>
      <c r="K129" s="91"/>
      <c r="L129" s="91"/>
      <c r="M129" s="32">
        <v>10000</v>
      </c>
    </row>
    <row r="130" spans="1:14" x14ac:dyDescent="0.25">
      <c r="A130" s="93" t="s">
        <v>101</v>
      </c>
      <c r="B130" s="91"/>
      <c r="C130" s="91"/>
      <c r="D130" s="91"/>
      <c r="E130" s="29"/>
      <c r="F130">
        <f>SUM(F129*F127)</f>
        <v>186000</v>
      </c>
      <c r="J130" s="93"/>
      <c r="K130" s="91"/>
      <c r="L130" s="91"/>
    </row>
    <row r="131" spans="1:14" ht="15.75" x14ac:dyDescent="0.25">
      <c r="A131" s="93" t="s">
        <v>99</v>
      </c>
      <c r="B131" s="91"/>
      <c r="C131" s="91"/>
      <c r="D131" s="91"/>
      <c r="E131" s="29"/>
      <c r="F131" s="34">
        <v>0.1</v>
      </c>
      <c r="J131" s="115" t="s">
        <v>179</v>
      </c>
      <c r="K131" s="91"/>
      <c r="L131" s="91"/>
      <c r="M131" s="136">
        <f>SUM(M127*M129)</f>
        <v>700000</v>
      </c>
    </row>
    <row r="132" spans="1:14" x14ac:dyDescent="0.25">
      <c r="A132" s="91"/>
      <c r="B132" s="91"/>
      <c r="C132" s="91"/>
      <c r="D132" s="91"/>
      <c r="E132" s="91"/>
    </row>
    <row r="133" spans="1:14" ht="15.75" x14ac:dyDescent="0.25">
      <c r="A133" s="115" t="s">
        <v>100</v>
      </c>
      <c r="B133" s="91"/>
      <c r="C133" s="91"/>
      <c r="D133" s="91"/>
      <c r="E133" s="91"/>
      <c r="F133" s="43">
        <f>SUM(F130/F131)</f>
        <v>1860000</v>
      </c>
      <c r="J133" s="16" t="s">
        <v>208</v>
      </c>
      <c r="M133">
        <v>2178</v>
      </c>
      <c r="N133" t="s">
        <v>209</v>
      </c>
    </row>
  </sheetData>
  <sheetProtection algorithmName="SHA-512" hashValue="6z5xSJaggKGaLnldRLGNQNNlYXlkU0fbNCxxQKft74iWMf6quxdLh+2nFHy9bsWbyJ6Nim54JmADzHmq2E7WqQ==" saltValue="P4IM5pcFdSPsrJalAvjIKw==" spinCount="100000" sheet="1" selectLockedCells="1"/>
  <pageMargins left="0.7" right="0.7" top="0.75" bottom="0.75" header="0.3" footer="0.3"/>
  <pageSetup paperSize="8" scale="58" orientation="landscape" horizontalDpi="0" verticalDpi="0" r:id="rId1"/>
  <ignoredErrors>
    <ignoredError sqref="O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80"/>
  <sheetViews>
    <sheetView topLeftCell="A49" workbookViewId="0">
      <selection activeCell="C53" sqref="C53"/>
    </sheetView>
  </sheetViews>
  <sheetFormatPr defaultRowHeight="15" x14ac:dyDescent="0.25"/>
  <cols>
    <col min="1" max="1" width="84.7109375" bestFit="1" customWidth="1"/>
    <col min="2" max="3" width="20.7109375" customWidth="1"/>
    <col min="4" max="4" width="11.28515625" bestFit="1" customWidth="1"/>
    <col min="5" max="5" width="31.5703125" customWidth="1"/>
    <col min="6" max="6" width="9.140625" customWidth="1"/>
    <col min="7" max="7" width="20.85546875" customWidth="1"/>
    <col min="8" max="8" width="12.7109375" bestFit="1" customWidth="1"/>
    <col min="9" max="9" width="10.28515625" bestFit="1" customWidth="1"/>
    <col min="10" max="10" width="12.7109375" bestFit="1" customWidth="1"/>
  </cols>
  <sheetData>
    <row r="1" spans="1:10" ht="23.25" x14ac:dyDescent="0.35">
      <c r="A1" s="4" t="s">
        <v>72</v>
      </c>
      <c r="B1" s="5"/>
    </row>
    <row r="2" spans="1:10" x14ac:dyDescent="0.25">
      <c r="A2" s="5"/>
      <c r="B2" s="5"/>
    </row>
    <row r="3" spans="1:10" ht="20.25" x14ac:dyDescent="0.3">
      <c r="A3" s="7" t="s">
        <v>121</v>
      </c>
      <c r="B3" s="8"/>
    </row>
    <row r="4" spans="1:10" ht="15.75" x14ac:dyDescent="0.25">
      <c r="A4" s="31"/>
      <c r="B4" s="2" t="s">
        <v>15</v>
      </c>
      <c r="C4" s="2" t="s">
        <v>15</v>
      </c>
    </row>
    <row r="6" spans="1:10" ht="18.75" x14ac:dyDescent="0.3">
      <c r="A6" s="11" t="s">
        <v>108</v>
      </c>
      <c r="B6" s="144">
        <v>191476000</v>
      </c>
      <c r="C6" s="143">
        <f>SUM(B6/'Residential Revenue'!B112)</f>
        <v>3616.5076966663519</v>
      </c>
      <c r="D6" s="67" t="s">
        <v>40</v>
      </c>
      <c r="E6" s="61"/>
      <c r="F6" s="67"/>
      <c r="G6" s="67"/>
      <c r="H6" s="67"/>
      <c r="I6" s="68"/>
      <c r="J6" s="67"/>
    </row>
    <row r="7" spans="1:10" ht="18.75" x14ac:dyDescent="0.3">
      <c r="A7" s="10"/>
      <c r="B7" s="69"/>
      <c r="C7" s="67"/>
      <c r="D7" s="67"/>
      <c r="E7" s="67"/>
      <c r="F7" s="67"/>
      <c r="G7" s="67"/>
      <c r="H7" s="67"/>
      <c r="I7" s="67"/>
      <c r="J7" s="67"/>
    </row>
    <row r="8" spans="1:10" ht="18.75" x14ac:dyDescent="0.3">
      <c r="A8" s="10" t="s">
        <v>74</v>
      </c>
      <c r="B8" s="69">
        <f>SUM('Residential Revenue'!B112*'Residential Costs'!C8)</f>
        <v>0</v>
      </c>
      <c r="C8" s="70"/>
      <c r="D8" s="67"/>
      <c r="E8" s="67" t="s">
        <v>92</v>
      </c>
      <c r="F8" s="70"/>
      <c r="G8" s="67"/>
      <c r="H8" s="67"/>
      <c r="I8" s="67"/>
      <c r="J8" s="67"/>
    </row>
    <row r="9" spans="1:10" ht="18.75" x14ac:dyDescent="0.3">
      <c r="A9" s="10" t="s">
        <v>85</v>
      </c>
      <c r="B9" s="71">
        <f>SUM('Residential Revenue'!C111)*C9</f>
        <v>0</v>
      </c>
      <c r="C9" s="72"/>
      <c r="D9" s="67" t="s">
        <v>41</v>
      </c>
      <c r="E9" s="67"/>
      <c r="F9" s="67"/>
      <c r="G9" s="67"/>
      <c r="H9" s="67"/>
      <c r="I9" s="67"/>
      <c r="J9" s="67"/>
    </row>
    <row r="10" spans="1:10" ht="18.75" x14ac:dyDescent="0.3">
      <c r="A10" s="10" t="s">
        <v>83</v>
      </c>
      <c r="B10" s="145">
        <f>SUM(B6:B9)</f>
        <v>191476000</v>
      </c>
      <c r="C10" s="67"/>
      <c r="D10" s="67"/>
      <c r="E10" s="67"/>
      <c r="F10" s="67"/>
      <c r="G10" s="67"/>
      <c r="H10" s="67"/>
      <c r="I10" s="67"/>
      <c r="J10" s="67"/>
    </row>
    <row r="11" spans="1:10" ht="18.75" x14ac:dyDescent="0.3">
      <c r="A11" s="11" t="s">
        <v>73</v>
      </c>
      <c r="B11" s="69"/>
      <c r="C11" s="67"/>
      <c r="D11" s="67"/>
      <c r="E11" s="67"/>
      <c r="F11" s="67"/>
      <c r="G11" s="67"/>
      <c r="H11" s="67"/>
      <c r="I11" s="68"/>
      <c r="J11" s="67"/>
    </row>
    <row r="12" spans="1:10" ht="18.75" x14ac:dyDescent="0.3">
      <c r="A12" s="10"/>
      <c r="B12" s="65">
        <v>13959000</v>
      </c>
      <c r="C12" s="78"/>
      <c r="D12" s="67"/>
      <c r="E12" s="67"/>
      <c r="F12" s="67"/>
      <c r="G12" s="67"/>
      <c r="H12" s="67"/>
      <c r="I12" s="67"/>
      <c r="J12" s="67"/>
    </row>
    <row r="13" spans="1:10" ht="18.75" x14ac:dyDescent="0.3">
      <c r="A13" s="10" t="s">
        <v>42</v>
      </c>
      <c r="B13" s="65"/>
      <c r="C13" s="78"/>
      <c r="D13" s="67"/>
      <c r="E13" s="67"/>
      <c r="F13" s="67"/>
      <c r="G13" s="67"/>
      <c r="H13" s="67"/>
      <c r="I13" s="67"/>
      <c r="J13" s="67"/>
    </row>
    <row r="14" spans="1:10" ht="18.75" x14ac:dyDescent="0.3">
      <c r="A14" s="10"/>
      <c r="B14" s="65"/>
      <c r="C14" s="78"/>
      <c r="D14" s="67"/>
      <c r="E14" s="67"/>
      <c r="F14" s="67"/>
      <c r="G14" s="67"/>
      <c r="H14" s="67"/>
      <c r="I14" s="67"/>
      <c r="J14" s="67"/>
    </row>
    <row r="15" spans="1:10" ht="18.75" x14ac:dyDescent="0.3">
      <c r="A15" s="10"/>
      <c r="B15" s="65"/>
      <c r="C15" s="78"/>
      <c r="D15" s="67"/>
      <c r="E15" s="67"/>
      <c r="F15" s="67"/>
      <c r="G15" s="67"/>
      <c r="H15" s="67"/>
      <c r="I15" s="67"/>
      <c r="J15" s="67"/>
    </row>
    <row r="16" spans="1:10" ht="18.75" x14ac:dyDescent="0.3">
      <c r="A16" s="11"/>
      <c r="B16" s="65"/>
      <c r="C16" s="133"/>
      <c r="D16" s="67"/>
      <c r="E16" s="67"/>
      <c r="F16" s="67"/>
      <c r="G16" s="66"/>
      <c r="H16" s="67"/>
      <c r="I16" s="67"/>
      <c r="J16" s="67"/>
    </row>
    <row r="17" spans="1:10" ht="18.75" x14ac:dyDescent="0.3">
      <c r="A17" s="10"/>
      <c r="B17" s="65"/>
      <c r="C17" s="75"/>
      <c r="D17" s="67"/>
      <c r="E17" s="67"/>
      <c r="F17" s="67"/>
      <c r="G17" s="67"/>
      <c r="H17" s="67"/>
      <c r="I17" s="67"/>
      <c r="J17" s="66"/>
    </row>
    <row r="18" spans="1:10" ht="18.75" x14ac:dyDescent="0.3">
      <c r="A18" s="10"/>
      <c r="B18" s="65"/>
      <c r="C18" s="75"/>
      <c r="D18" s="67"/>
      <c r="E18" s="67"/>
      <c r="F18" s="67"/>
      <c r="G18" s="67"/>
      <c r="H18" s="67"/>
      <c r="I18" s="67"/>
      <c r="J18" s="67"/>
    </row>
    <row r="19" spans="1:10" ht="18.75" x14ac:dyDescent="0.3">
      <c r="A19" s="11"/>
      <c r="B19" s="65"/>
      <c r="C19" s="134"/>
      <c r="D19" s="61" t="s">
        <v>109</v>
      </c>
      <c r="E19" s="67"/>
      <c r="F19" s="67"/>
      <c r="G19" s="66">
        <f>SUM(B13:B20)</f>
        <v>0</v>
      </c>
      <c r="H19" s="67"/>
      <c r="I19" s="67"/>
      <c r="J19" s="67"/>
    </row>
    <row r="20" spans="1:10" ht="18.75" x14ac:dyDescent="0.3">
      <c r="A20" s="10"/>
      <c r="B20" s="65"/>
      <c r="C20" s="75"/>
      <c r="D20" s="61" t="s">
        <v>110</v>
      </c>
      <c r="E20" s="67"/>
      <c r="F20" s="67"/>
      <c r="G20" s="156">
        <f>SUM(B12:B20)</f>
        <v>13959000</v>
      </c>
      <c r="H20" s="67"/>
      <c r="I20" s="67"/>
      <c r="J20" s="67"/>
    </row>
    <row r="21" spans="1:10" ht="18.75" x14ac:dyDescent="0.3">
      <c r="A21" s="10"/>
      <c r="B21" s="69"/>
      <c r="C21" s="67"/>
      <c r="D21" s="67"/>
      <c r="E21" s="67"/>
      <c r="F21" s="67"/>
      <c r="G21" s="67"/>
      <c r="H21" s="67"/>
      <c r="I21" s="67"/>
      <c r="J21" s="67"/>
    </row>
    <row r="22" spans="1:10" ht="18.75" x14ac:dyDescent="0.3">
      <c r="A22" s="12" t="s">
        <v>23</v>
      </c>
      <c r="B22" s="145">
        <f>SUM(B10:B21)</f>
        <v>205435000</v>
      </c>
      <c r="C22" s="67"/>
      <c r="D22" s="67"/>
      <c r="E22" s="67"/>
      <c r="F22" s="67"/>
      <c r="G22" s="67"/>
      <c r="H22" s="67"/>
      <c r="I22" s="67"/>
      <c r="J22" s="67"/>
    </row>
    <row r="23" spans="1:10" ht="18.75" x14ac:dyDescent="0.3">
      <c r="A23" s="10"/>
      <c r="B23" s="69"/>
      <c r="C23" s="67"/>
      <c r="D23" s="67"/>
      <c r="E23" s="67"/>
      <c r="F23" s="67"/>
      <c r="G23" s="67"/>
      <c r="H23" s="67"/>
      <c r="I23" s="67"/>
      <c r="J23" s="67"/>
    </row>
    <row r="24" spans="1:10" ht="18.75" x14ac:dyDescent="0.3">
      <c r="A24" s="10"/>
      <c r="B24" s="69"/>
      <c r="C24" s="155"/>
      <c r="D24" s="67"/>
      <c r="E24" s="67"/>
      <c r="F24" s="67"/>
      <c r="G24" s="67"/>
      <c r="H24" s="67"/>
      <c r="I24" s="67"/>
      <c r="J24" s="67"/>
    </row>
    <row r="25" spans="1:10" ht="18.75" x14ac:dyDescent="0.3">
      <c r="A25" s="11" t="s">
        <v>43</v>
      </c>
      <c r="B25" s="146">
        <f>SUM(B22*5%)</f>
        <v>10271750</v>
      </c>
      <c r="C25" s="77">
        <v>0.05</v>
      </c>
      <c r="D25" s="67"/>
      <c r="E25" s="67"/>
      <c r="F25" s="67"/>
      <c r="G25" s="67"/>
      <c r="H25" s="67"/>
      <c r="I25" s="67"/>
      <c r="J25" s="67"/>
    </row>
    <row r="26" spans="1:10" ht="18.75" x14ac:dyDescent="0.3">
      <c r="A26" s="10"/>
      <c r="B26" s="69"/>
      <c r="C26" s="67"/>
      <c r="D26" s="67"/>
      <c r="E26" s="67"/>
      <c r="F26" s="67"/>
      <c r="G26" s="67"/>
      <c r="H26" s="67"/>
      <c r="I26" s="67"/>
      <c r="J26" s="67"/>
    </row>
    <row r="27" spans="1:10" ht="18.75" x14ac:dyDescent="0.3">
      <c r="A27" s="9" t="s">
        <v>16</v>
      </c>
      <c r="B27" s="73">
        <f>SUM(B22:B25)</f>
        <v>215706750</v>
      </c>
      <c r="C27" s="67"/>
      <c r="D27" s="67"/>
      <c r="E27" s="67"/>
      <c r="F27" s="67"/>
      <c r="G27" s="67"/>
      <c r="H27" s="67"/>
      <c r="I27" s="67"/>
      <c r="J27" s="67"/>
    </row>
    <row r="28" spans="1:10" ht="18.75" x14ac:dyDescent="0.3">
      <c r="A28" s="10"/>
      <c r="B28" s="69"/>
      <c r="C28" s="67"/>
      <c r="D28" s="67"/>
      <c r="E28" s="67"/>
      <c r="F28" s="67"/>
      <c r="G28" s="67"/>
      <c r="H28" s="67"/>
      <c r="I28" s="67"/>
      <c r="J28" s="67"/>
    </row>
    <row r="29" spans="1:10" ht="18.75" x14ac:dyDescent="0.3">
      <c r="A29" s="11" t="s">
        <v>111</v>
      </c>
      <c r="B29" s="144">
        <v>8548988</v>
      </c>
      <c r="C29" s="67"/>
      <c r="D29" s="67"/>
      <c r="E29" s="67"/>
      <c r="F29" s="67"/>
      <c r="G29" s="67"/>
      <c r="H29" s="67"/>
      <c r="I29" s="67"/>
      <c r="J29" s="67"/>
    </row>
    <row r="30" spans="1:10" ht="18.75" x14ac:dyDescent="0.3">
      <c r="A30" s="11"/>
      <c r="B30" s="65"/>
      <c r="C30" s="67"/>
      <c r="D30" s="67"/>
      <c r="E30" s="67"/>
      <c r="F30" s="67"/>
      <c r="G30" s="67"/>
      <c r="H30" s="67"/>
      <c r="I30" s="67"/>
      <c r="J30" s="67"/>
    </row>
    <row r="31" spans="1:10" ht="18.75" x14ac:dyDescent="0.3">
      <c r="A31" s="11"/>
      <c r="B31" s="65"/>
      <c r="C31" s="67"/>
      <c r="D31" s="67"/>
      <c r="E31" s="67"/>
      <c r="F31" s="67"/>
      <c r="G31" s="67"/>
      <c r="H31" s="67"/>
      <c r="I31" s="67"/>
      <c r="J31" s="67"/>
    </row>
    <row r="32" spans="1:10" ht="18.75" x14ac:dyDescent="0.3">
      <c r="A32" s="11"/>
      <c r="B32" s="65"/>
      <c r="C32" s="67"/>
      <c r="D32" s="67"/>
      <c r="E32" s="67"/>
      <c r="F32" s="67"/>
      <c r="G32" s="67"/>
      <c r="H32" s="67"/>
      <c r="I32" s="67"/>
      <c r="J32" s="67"/>
    </row>
    <row r="33" spans="1:10" ht="18.75" x14ac:dyDescent="0.3">
      <c r="A33" s="11"/>
      <c r="B33" s="65"/>
      <c r="C33" s="67"/>
      <c r="D33" s="67"/>
      <c r="E33" s="67"/>
      <c r="F33" s="67"/>
      <c r="G33" s="67"/>
      <c r="H33" s="67"/>
      <c r="I33" s="67"/>
      <c r="J33" s="67"/>
    </row>
    <row r="34" spans="1:10" ht="18.75" x14ac:dyDescent="0.3">
      <c r="A34" s="11"/>
      <c r="B34" s="65"/>
      <c r="C34" s="67"/>
      <c r="D34" s="67"/>
      <c r="E34" s="81" t="s">
        <v>117</v>
      </c>
      <c r="F34" s="67"/>
      <c r="G34" s="67"/>
      <c r="H34" s="67"/>
      <c r="I34" s="67"/>
      <c r="J34" s="67"/>
    </row>
    <row r="35" spans="1:10" ht="18.75" x14ac:dyDescent="0.3">
      <c r="A35" s="10"/>
      <c r="B35" s="122"/>
      <c r="C35" s="67"/>
      <c r="D35" s="67"/>
      <c r="E35" s="67"/>
      <c r="F35" s="67"/>
      <c r="G35" s="67"/>
      <c r="H35" s="67"/>
      <c r="I35" s="67"/>
      <c r="J35" s="67"/>
    </row>
    <row r="36" spans="1:10" ht="18.75" x14ac:dyDescent="0.3">
      <c r="A36" s="10"/>
      <c r="B36" s="122"/>
      <c r="C36" s="67"/>
      <c r="D36" s="67"/>
      <c r="E36" s="47" t="s">
        <v>114</v>
      </c>
      <c r="F36" s="47"/>
      <c r="G36" s="70">
        <v>18</v>
      </c>
      <c r="H36" s="67" t="s">
        <v>115</v>
      </c>
      <c r="I36" s="67"/>
      <c r="J36" s="67"/>
    </row>
    <row r="37" spans="1:10" ht="18.75" x14ac:dyDescent="0.3">
      <c r="A37" s="9" t="s">
        <v>17</v>
      </c>
      <c r="B37" s="123">
        <f>SUM(B29:B34)</f>
        <v>8548988</v>
      </c>
      <c r="C37" s="67"/>
      <c r="D37" s="67"/>
      <c r="E37" s="47" t="s">
        <v>116</v>
      </c>
      <c r="F37" s="47"/>
      <c r="G37" s="72">
        <v>81</v>
      </c>
      <c r="H37" s="67" t="s">
        <v>115</v>
      </c>
      <c r="I37" s="67"/>
      <c r="J37" s="67"/>
    </row>
    <row r="38" spans="1:10" ht="18.75" x14ac:dyDescent="0.3">
      <c r="A38" s="10"/>
      <c r="B38" s="122"/>
      <c r="C38" s="67"/>
      <c r="D38" s="67"/>
      <c r="E38" s="47" t="s">
        <v>113</v>
      </c>
      <c r="F38" s="47"/>
      <c r="G38" s="83">
        <v>3</v>
      </c>
      <c r="H38" s="67" t="s">
        <v>115</v>
      </c>
      <c r="I38" s="67"/>
      <c r="J38" s="67"/>
    </row>
    <row r="39" spans="1:10" ht="18.75" x14ac:dyDescent="0.3">
      <c r="A39" s="10" t="s">
        <v>44</v>
      </c>
      <c r="B39" s="140">
        <f>SUM(B22*C39)</f>
        <v>14380450.000000002</v>
      </c>
      <c r="C39" s="77">
        <v>7.0000000000000007E-2</v>
      </c>
      <c r="D39" s="67"/>
      <c r="E39" s="47"/>
      <c r="F39" s="47"/>
      <c r="G39" s="72"/>
      <c r="H39" s="67"/>
      <c r="I39" s="67"/>
      <c r="J39" s="67"/>
    </row>
    <row r="40" spans="1:10" ht="18.75" x14ac:dyDescent="0.3">
      <c r="A40" s="10"/>
      <c r="B40" s="140"/>
      <c r="C40" s="78"/>
      <c r="D40" s="67"/>
      <c r="E40" s="13" t="s">
        <v>25</v>
      </c>
      <c r="F40" s="47"/>
      <c r="G40" s="121">
        <f>SUM(G36:G39)</f>
        <v>102</v>
      </c>
      <c r="H40" s="67" t="s">
        <v>115</v>
      </c>
      <c r="I40" s="67">
        <f>SUM(G40/12)</f>
        <v>8.5</v>
      </c>
      <c r="J40" s="67" t="s">
        <v>33</v>
      </c>
    </row>
    <row r="41" spans="1:10" ht="18.75" x14ac:dyDescent="0.3">
      <c r="A41" s="10" t="s">
        <v>45</v>
      </c>
      <c r="B41" s="140">
        <f>SUM('Residential Revenue'!Y111*C41)</f>
        <v>5262212.4750000006</v>
      </c>
      <c r="C41" s="79">
        <v>2.5000000000000001E-2</v>
      </c>
      <c r="D41" s="67"/>
      <c r="E41" s="67"/>
      <c r="F41" s="67"/>
      <c r="G41" s="67"/>
      <c r="H41" s="67"/>
      <c r="I41" s="67"/>
      <c r="J41" s="67"/>
    </row>
    <row r="42" spans="1:10" ht="18.75" x14ac:dyDescent="0.3">
      <c r="A42" s="10"/>
      <c r="B42" s="140"/>
      <c r="C42" s="78"/>
      <c r="D42" s="67"/>
      <c r="E42" s="67"/>
      <c r="F42" s="67"/>
      <c r="G42" s="67"/>
      <c r="H42" s="67"/>
      <c r="I42" s="67"/>
      <c r="J42" s="67"/>
    </row>
    <row r="43" spans="1:10" ht="18.75" x14ac:dyDescent="0.3">
      <c r="A43" s="11" t="s">
        <v>46</v>
      </c>
      <c r="B43" s="140">
        <f>SUM(B73*C43)</f>
        <v>1384375</v>
      </c>
      <c r="C43" s="80">
        <v>6.25E-2</v>
      </c>
      <c r="D43" s="67"/>
      <c r="E43" s="67"/>
      <c r="F43" s="67"/>
      <c r="G43" s="67"/>
      <c r="H43" s="67"/>
      <c r="I43" s="67"/>
      <c r="J43" s="67"/>
    </row>
    <row r="44" spans="1:10" ht="18.75" x14ac:dyDescent="0.3">
      <c r="A44" s="10"/>
      <c r="B44" s="140"/>
      <c r="C44" s="78"/>
      <c r="D44" s="67"/>
      <c r="E44" s="67"/>
      <c r="F44" s="67"/>
      <c r="G44" s="67"/>
      <c r="H44" s="67"/>
      <c r="I44" s="67"/>
      <c r="J44" s="67"/>
    </row>
    <row r="45" spans="1:10" ht="18.75" x14ac:dyDescent="0.3">
      <c r="A45" s="9" t="s">
        <v>18</v>
      </c>
      <c r="B45" s="140">
        <f>SUM(B39:B44)</f>
        <v>21027037.475000001</v>
      </c>
      <c r="C45" s="78"/>
      <c r="D45" s="67"/>
      <c r="E45" s="67"/>
      <c r="F45" s="67"/>
      <c r="G45" s="67"/>
      <c r="H45" s="67"/>
      <c r="I45" s="67"/>
      <c r="J45" s="67"/>
    </row>
    <row r="46" spans="1:10" ht="18.75" x14ac:dyDescent="0.3">
      <c r="A46" s="10"/>
      <c r="B46" s="122"/>
      <c r="C46" s="78"/>
      <c r="D46" s="67"/>
      <c r="E46" s="67"/>
      <c r="F46" s="67"/>
      <c r="G46" s="67"/>
      <c r="H46" s="67"/>
      <c r="I46" s="67"/>
      <c r="J46" s="67"/>
    </row>
    <row r="47" spans="1:10" ht="18.75" x14ac:dyDescent="0.3">
      <c r="A47" s="13" t="s">
        <v>173</v>
      </c>
      <c r="B47" s="122"/>
      <c r="C47" s="78"/>
      <c r="D47" s="67"/>
      <c r="E47" s="67"/>
      <c r="F47" s="67"/>
      <c r="G47" s="67"/>
      <c r="H47" s="67"/>
      <c r="I47" s="67"/>
      <c r="J47" s="67"/>
    </row>
    <row r="48" spans="1:10" ht="18.75" x14ac:dyDescent="0.3">
      <c r="A48" s="10"/>
      <c r="B48" s="122"/>
      <c r="C48" s="78"/>
      <c r="D48" s="67"/>
      <c r="E48" s="67"/>
      <c r="F48" s="67"/>
      <c r="G48" s="67"/>
      <c r="H48" s="67"/>
      <c r="I48" s="67"/>
      <c r="J48" s="67"/>
    </row>
    <row r="49" spans="1:10" ht="18.75" x14ac:dyDescent="0.3">
      <c r="A49" s="10" t="s">
        <v>47</v>
      </c>
      <c r="B49" s="140">
        <f>SUM(B22*C49)*I40/3.5</f>
        <v>34923950.000000007</v>
      </c>
      <c r="C49" s="80">
        <v>7.0000000000000007E-2</v>
      </c>
      <c r="D49" s="67"/>
    </row>
    <row r="50" spans="1:10" ht="18.75" x14ac:dyDescent="0.3">
      <c r="A50" s="10" t="s">
        <v>196</v>
      </c>
      <c r="B50" s="140"/>
      <c r="C50" s="82"/>
      <c r="D50" s="67"/>
    </row>
    <row r="51" spans="1:10" ht="18.75" x14ac:dyDescent="0.3">
      <c r="A51" s="10"/>
      <c r="B51" s="140"/>
      <c r="C51" s="82"/>
      <c r="D51" s="67"/>
    </row>
    <row r="52" spans="1:10" ht="18.75" x14ac:dyDescent="0.3">
      <c r="A52" s="10" t="s">
        <v>49</v>
      </c>
      <c r="B52" s="140">
        <v>775250</v>
      </c>
      <c r="C52" s="80">
        <v>7.0000000000000007E-2</v>
      </c>
      <c r="D52" s="67"/>
    </row>
    <row r="53" spans="1:10" ht="18.75" x14ac:dyDescent="0.3">
      <c r="A53" s="10" t="s">
        <v>61</v>
      </c>
      <c r="B53" s="140"/>
      <c r="C53" s="82"/>
      <c r="D53" s="67"/>
    </row>
    <row r="54" spans="1:10" ht="18.75" x14ac:dyDescent="0.3">
      <c r="A54" s="10"/>
      <c r="B54" s="140"/>
      <c r="C54" s="82"/>
      <c r="D54" s="67"/>
    </row>
    <row r="55" spans="1:10" ht="18.75" x14ac:dyDescent="0.3">
      <c r="A55" s="11" t="s">
        <v>50</v>
      </c>
      <c r="B55" s="140">
        <f>SUM(B37*C55)*I40/3</f>
        <v>1695549.2866666669</v>
      </c>
      <c r="C55" s="80">
        <v>7.0000000000000007E-2</v>
      </c>
      <c r="D55" s="67"/>
    </row>
    <row r="56" spans="1:10" ht="18.75" x14ac:dyDescent="0.3">
      <c r="A56" s="10" t="s">
        <v>62</v>
      </c>
      <c r="B56" s="140"/>
      <c r="C56" s="78"/>
      <c r="D56" s="67"/>
      <c r="E56" s="67"/>
      <c r="F56" s="67"/>
      <c r="G56" s="67"/>
      <c r="H56" s="67"/>
      <c r="I56" s="67"/>
      <c r="J56" s="67"/>
    </row>
    <row r="57" spans="1:10" ht="18.75" x14ac:dyDescent="0.3">
      <c r="A57" s="10"/>
      <c r="B57" s="140"/>
      <c r="C57" s="78"/>
      <c r="D57" s="67"/>
      <c r="E57" s="67"/>
      <c r="F57" s="67"/>
      <c r="G57" s="67"/>
      <c r="H57" s="67"/>
      <c r="I57" s="67"/>
      <c r="J57" s="67"/>
    </row>
    <row r="58" spans="1:10" ht="18.75" x14ac:dyDescent="0.3">
      <c r="A58" s="9" t="s">
        <v>19</v>
      </c>
      <c r="B58" s="96">
        <f>SUM(B49:B56)</f>
        <v>37394749.286666676</v>
      </c>
      <c r="C58" s="78"/>
      <c r="D58" s="67"/>
      <c r="E58" s="67"/>
      <c r="F58" s="67"/>
      <c r="G58" s="67"/>
      <c r="H58" s="67"/>
      <c r="I58" s="67"/>
      <c r="J58" s="67"/>
    </row>
    <row r="59" spans="1:10" ht="18.75" x14ac:dyDescent="0.3">
      <c r="A59" s="9"/>
      <c r="B59" s="123"/>
      <c r="C59" s="78"/>
      <c r="D59" s="67"/>
      <c r="E59" s="67"/>
      <c r="F59" s="67"/>
      <c r="G59" s="67"/>
      <c r="H59" s="67"/>
      <c r="I59" s="67"/>
      <c r="J59" s="67"/>
    </row>
    <row r="60" spans="1:10" ht="18.75" x14ac:dyDescent="0.3">
      <c r="A60" s="9" t="s">
        <v>174</v>
      </c>
      <c r="B60" s="124">
        <f>SUM('Residential DCF'!B42)</f>
        <v>0</v>
      </c>
      <c r="C60" s="78"/>
      <c r="D60" s="67"/>
      <c r="E60" s="67"/>
      <c r="F60" s="67"/>
      <c r="G60" s="67"/>
      <c r="H60" s="67"/>
      <c r="I60" s="67"/>
      <c r="J60" s="67"/>
    </row>
    <row r="61" spans="1:10" ht="18.75" x14ac:dyDescent="0.3">
      <c r="A61" s="10"/>
      <c r="B61" s="122"/>
      <c r="C61" s="78"/>
      <c r="D61" s="67"/>
      <c r="E61" s="67"/>
      <c r="F61" s="67"/>
      <c r="G61" s="67"/>
      <c r="H61" s="67"/>
      <c r="I61" s="67"/>
      <c r="J61" s="67"/>
    </row>
    <row r="62" spans="1:10" ht="18.75" x14ac:dyDescent="0.3">
      <c r="A62" s="10"/>
      <c r="B62" s="122"/>
      <c r="C62" s="78"/>
      <c r="D62" s="67"/>
      <c r="E62" s="67"/>
      <c r="F62" s="67"/>
      <c r="G62" s="67"/>
      <c r="H62" s="67"/>
      <c r="I62" s="67"/>
      <c r="J62" s="67"/>
    </row>
    <row r="63" spans="1:10" ht="23.25" x14ac:dyDescent="0.35">
      <c r="A63" s="30" t="s">
        <v>120</v>
      </c>
      <c r="B63" s="122"/>
      <c r="C63" s="84"/>
      <c r="D63" s="67"/>
      <c r="E63" s="67"/>
      <c r="F63" s="67"/>
      <c r="G63" s="67"/>
      <c r="H63" s="67"/>
      <c r="I63" s="67"/>
      <c r="J63" s="67"/>
    </row>
    <row r="64" spans="1:10" ht="18.75" x14ac:dyDescent="0.3">
      <c r="A64" s="10"/>
      <c r="B64" s="122"/>
      <c r="C64" s="78"/>
      <c r="D64" s="67"/>
      <c r="E64" s="67"/>
      <c r="F64" s="67"/>
      <c r="G64" s="67"/>
      <c r="H64" s="67"/>
      <c r="I64" s="67"/>
      <c r="J64" s="67"/>
    </row>
    <row r="65" spans="1:10" ht="18.75" x14ac:dyDescent="0.3">
      <c r="A65" s="9" t="s">
        <v>118</v>
      </c>
      <c r="B65" s="140">
        <f>SUM('Residential Revenue'!J121)*C65</f>
        <v>42097699.800000004</v>
      </c>
      <c r="C65" s="77">
        <v>0.2</v>
      </c>
      <c r="D65" s="67"/>
      <c r="E65" s="67"/>
      <c r="F65" s="67"/>
      <c r="G65" s="67"/>
      <c r="H65" s="67"/>
      <c r="I65" s="67"/>
      <c r="J65" s="67"/>
    </row>
    <row r="66" spans="1:10" ht="18.75" x14ac:dyDescent="0.3">
      <c r="A66" s="10"/>
      <c r="B66" s="140"/>
      <c r="C66" s="78"/>
      <c r="D66" s="67"/>
      <c r="E66" s="67"/>
      <c r="F66" s="67"/>
      <c r="G66" s="67"/>
      <c r="H66" s="67"/>
      <c r="I66" s="67"/>
      <c r="J66" s="67"/>
    </row>
    <row r="67" spans="1:10" ht="18.75" x14ac:dyDescent="0.3">
      <c r="A67" s="11" t="s">
        <v>119</v>
      </c>
      <c r="B67" s="140">
        <f>SUM('Residential Revenue'!J118*'Residential Costs'!C67)</f>
        <v>0</v>
      </c>
      <c r="C67" s="77">
        <v>0.06</v>
      </c>
      <c r="D67" s="67"/>
      <c r="E67" s="67"/>
      <c r="F67" s="67"/>
      <c r="G67" s="67"/>
      <c r="H67" s="67"/>
      <c r="I67" s="67"/>
      <c r="J67" s="67"/>
    </row>
    <row r="68" spans="1:10" ht="18.75" x14ac:dyDescent="0.3">
      <c r="A68" s="10"/>
      <c r="B68" s="140"/>
      <c r="C68" s="85"/>
      <c r="D68" s="67"/>
      <c r="E68" s="67"/>
      <c r="F68" s="67"/>
      <c r="G68" s="67"/>
      <c r="H68" s="67"/>
      <c r="I68" s="67"/>
      <c r="J68" s="67"/>
    </row>
    <row r="69" spans="1:10" ht="18.75" x14ac:dyDescent="0.3">
      <c r="A69" s="9" t="s">
        <v>20</v>
      </c>
      <c r="B69" s="96">
        <f>SUM(B63:B67)</f>
        <v>42097699.800000004</v>
      </c>
      <c r="C69" s="67"/>
      <c r="D69" s="67"/>
      <c r="E69" s="67"/>
      <c r="F69" s="67"/>
      <c r="G69" s="67"/>
      <c r="H69" s="67"/>
      <c r="I69" s="67"/>
      <c r="J69" s="67"/>
    </row>
    <row r="70" spans="1:10" ht="18.75" x14ac:dyDescent="0.3">
      <c r="A70" s="10"/>
      <c r="B70" s="140"/>
      <c r="C70" s="67"/>
      <c r="D70" s="67"/>
      <c r="E70" s="67"/>
      <c r="F70" s="67"/>
      <c r="G70" s="67"/>
      <c r="H70" s="67"/>
      <c r="I70" s="67"/>
      <c r="J70" s="67"/>
    </row>
    <row r="71" spans="1:10" ht="18.75" x14ac:dyDescent="0.3">
      <c r="A71" s="9" t="s">
        <v>21</v>
      </c>
      <c r="B71" s="96">
        <f>SUM(B27+B37+B45+B58+B69-B60)</f>
        <v>324775224.56166667</v>
      </c>
      <c r="C71" s="67"/>
      <c r="D71" s="67"/>
      <c r="E71" s="67"/>
      <c r="F71" s="67"/>
      <c r="G71" s="67"/>
      <c r="H71" s="67"/>
      <c r="I71" s="67"/>
      <c r="J71" s="67"/>
    </row>
    <row r="72" spans="1:10" ht="18.75" x14ac:dyDescent="0.3">
      <c r="A72" s="10"/>
      <c r="B72" s="140"/>
      <c r="C72" s="67"/>
      <c r="D72" s="67"/>
      <c r="E72" s="67"/>
      <c r="F72" s="67"/>
      <c r="G72" s="67"/>
      <c r="H72" s="67"/>
      <c r="I72" s="67"/>
      <c r="J72" s="67"/>
    </row>
    <row r="73" spans="1:10" ht="18.75" x14ac:dyDescent="0.3">
      <c r="A73" s="11" t="s">
        <v>14</v>
      </c>
      <c r="B73" s="147">
        <v>22150000</v>
      </c>
      <c r="C73" s="67"/>
      <c r="D73" s="67"/>
      <c r="E73" s="67"/>
      <c r="F73" s="67"/>
      <c r="G73" s="67"/>
      <c r="H73" s="67"/>
      <c r="I73" s="67"/>
      <c r="J73" s="67"/>
    </row>
    <row r="74" spans="1:10" ht="18.75" x14ac:dyDescent="0.3">
      <c r="A74" s="10"/>
      <c r="B74" s="140"/>
      <c r="C74" s="67"/>
      <c r="D74" s="67"/>
      <c r="E74" s="67"/>
      <c r="F74" s="67"/>
      <c r="G74" s="67"/>
      <c r="H74" s="67"/>
      <c r="I74" s="67"/>
      <c r="J74" s="67"/>
    </row>
    <row r="75" spans="1:10" ht="18.75" x14ac:dyDescent="0.3">
      <c r="A75" s="9" t="s">
        <v>22</v>
      </c>
      <c r="B75" s="140">
        <f>SUM(B71+B73)</f>
        <v>346925224.56166667</v>
      </c>
      <c r="C75" s="67"/>
      <c r="D75" s="67"/>
      <c r="E75" s="67"/>
      <c r="F75" s="67"/>
      <c r="G75" s="67"/>
      <c r="H75" s="67"/>
      <c r="I75" s="67"/>
      <c r="J75" s="67"/>
    </row>
    <row r="76" spans="1:10" ht="18.75" x14ac:dyDescent="0.3">
      <c r="A76" s="10"/>
      <c r="B76" s="125"/>
      <c r="C76" s="67"/>
      <c r="D76" s="67"/>
      <c r="E76" s="67"/>
      <c r="F76" s="67"/>
      <c r="G76" s="67"/>
      <c r="H76" s="67"/>
      <c r="I76" s="67"/>
      <c r="J76" s="67"/>
    </row>
    <row r="77" spans="1:10" ht="18.75" x14ac:dyDescent="0.3">
      <c r="A77" s="50"/>
      <c r="B77" s="86"/>
      <c r="C77" s="67"/>
      <c r="D77" s="67"/>
      <c r="E77" s="67"/>
      <c r="F77" s="67"/>
      <c r="G77" s="67"/>
      <c r="H77" s="67"/>
      <c r="I77" s="67"/>
      <c r="J77" s="67"/>
    </row>
    <row r="78" spans="1:10" x14ac:dyDescent="0.25">
      <c r="A78" s="20"/>
      <c r="B78" s="20"/>
    </row>
    <row r="79" spans="1:10" ht="18.75" x14ac:dyDescent="0.3">
      <c r="A79" s="50"/>
      <c r="B79" s="53"/>
    </row>
    <row r="80" spans="1:10" x14ac:dyDescent="0.25">
      <c r="A80" s="20"/>
    </row>
  </sheetData>
  <sheetProtection algorithmName="SHA-512" hashValue="Jnz3J/tZYLYoPFPk795IwxVke2g45w/Wof1BwHaVADLBM+AwDqWc/4R0VyEsq39D4jMEwk/S6oy7NwkwB6H3Sg==" saltValue="UfEokD5h1aTLr+BcQHBObA==" spinCount="100000" sheet="1" selectLockedCells="1"/>
  <pageMargins left="0.7" right="0.7" top="0.75" bottom="0.75" header="0.3" footer="0.3"/>
  <pageSetup paperSize="8" scale="5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2"/>
  <sheetViews>
    <sheetView topLeftCell="B1" workbookViewId="0">
      <selection activeCell="T23" sqref="T23"/>
    </sheetView>
  </sheetViews>
  <sheetFormatPr defaultRowHeight="15" x14ac:dyDescent="0.25"/>
  <cols>
    <col min="1" max="1" width="44.140625" customWidth="1"/>
    <col min="2" max="2" width="13" customWidth="1"/>
    <col min="3" max="3" width="10.7109375" customWidth="1"/>
    <col min="4" max="4" width="13.42578125" customWidth="1"/>
    <col min="5" max="5" width="19.42578125" customWidth="1"/>
    <col min="7" max="7" width="23.140625" customWidth="1"/>
    <col min="8" max="8" width="17.140625" customWidth="1"/>
    <col min="9" max="9" width="22.28515625" customWidth="1"/>
  </cols>
  <sheetData>
    <row r="1" spans="1:22" ht="23.25" x14ac:dyDescent="0.35">
      <c r="A1" s="4" t="s">
        <v>72</v>
      </c>
      <c r="B1" s="4"/>
      <c r="C1" s="5"/>
      <c r="D1" s="5"/>
      <c r="E1" s="5"/>
      <c r="F1" s="5"/>
      <c r="G1" s="5"/>
      <c r="H1" s="5"/>
      <c r="I1" s="5"/>
      <c r="J1" s="5"/>
      <c r="K1" s="5"/>
    </row>
    <row r="2" spans="1:2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22" ht="20.25" x14ac:dyDescent="0.3">
      <c r="A3" s="7" t="s">
        <v>123</v>
      </c>
      <c r="B3" s="7"/>
      <c r="C3" s="8"/>
      <c r="D3" s="8"/>
      <c r="E3" s="8"/>
      <c r="F3" s="8"/>
      <c r="G3" s="8"/>
      <c r="H3" s="8"/>
      <c r="I3" s="8"/>
      <c r="J3" s="8"/>
      <c r="K3" s="8"/>
      <c r="N3" s="49"/>
      <c r="O3" s="20"/>
      <c r="P3" s="20"/>
      <c r="Q3" s="20"/>
      <c r="R3" s="20"/>
      <c r="S3" s="20"/>
      <c r="T3" s="20"/>
      <c r="U3" s="20"/>
      <c r="V3" s="20"/>
    </row>
    <row r="4" spans="1:22" ht="15.75" thickBot="1" x14ac:dyDescent="0.3">
      <c r="A4" s="57"/>
      <c r="B4" s="57"/>
      <c r="C4" s="20"/>
      <c r="D4" s="20"/>
      <c r="N4" s="20"/>
      <c r="O4" s="20"/>
      <c r="P4" s="20"/>
      <c r="Q4" s="20"/>
      <c r="R4" s="20"/>
      <c r="S4" s="20"/>
      <c r="T4" s="20"/>
      <c r="U4" s="20"/>
    </row>
    <row r="5" spans="1:22" ht="21" x14ac:dyDescent="0.35">
      <c r="A5" s="58" t="s">
        <v>124</v>
      </c>
      <c r="B5" s="63" t="s">
        <v>139</v>
      </c>
      <c r="C5" s="59" t="s">
        <v>138</v>
      </c>
      <c r="D5" s="59" t="s">
        <v>125</v>
      </c>
      <c r="E5" s="59" t="s">
        <v>127</v>
      </c>
      <c r="F5" s="59" t="s">
        <v>99</v>
      </c>
      <c r="G5" s="60" t="s">
        <v>200</v>
      </c>
      <c r="H5" s="148" t="s">
        <v>199</v>
      </c>
      <c r="I5" s="150" t="s">
        <v>126</v>
      </c>
      <c r="J5" s="20"/>
      <c r="K5" s="20"/>
      <c r="L5" s="20"/>
      <c r="N5" s="44"/>
      <c r="O5" s="50"/>
      <c r="P5" s="50"/>
      <c r="Q5" s="50"/>
      <c r="R5" s="50"/>
      <c r="S5" s="51"/>
      <c r="T5" s="20"/>
      <c r="U5" s="20"/>
    </row>
    <row r="6" spans="1:22" ht="18.75" x14ac:dyDescent="0.3">
      <c r="A6" s="128" t="s">
        <v>205</v>
      </c>
      <c r="B6" s="129">
        <v>9688</v>
      </c>
      <c r="C6" s="130">
        <v>104281</v>
      </c>
      <c r="D6" s="130">
        <v>36</v>
      </c>
      <c r="E6" s="138">
        <f>SUM(C6*D6)</f>
        <v>3754116</v>
      </c>
      <c r="F6" s="130">
        <v>5.5</v>
      </c>
      <c r="G6" s="126">
        <f>SUM(E6/F6)*100</f>
        <v>68256654.545454547</v>
      </c>
      <c r="H6" s="149">
        <v>0.94789999999999996</v>
      </c>
      <c r="I6" s="153">
        <f>SUM(G6*H6)</f>
        <v>64700482.843636364</v>
      </c>
      <c r="J6" s="20"/>
      <c r="K6" s="20"/>
      <c r="L6" s="20"/>
      <c r="N6" s="50"/>
      <c r="O6" s="50"/>
      <c r="P6" s="50"/>
      <c r="Q6" s="50"/>
      <c r="R6" s="50"/>
      <c r="S6" s="39"/>
      <c r="T6" s="20"/>
      <c r="U6" s="20"/>
    </row>
    <row r="7" spans="1:22" ht="18.75" x14ac:dyDescent="0.3">
      <c r="A7" s="128" t="s">
        <v>204</v>
      </c>
      <c r="B7" s="129">
        <v>1465</v>
      </c>
      <c r="C7" s="130">
        <v>15769</v>
      </c>
      <c r="D7" s="130">
        <v>16</v>
      </c>
      <c r="E7" s="138">
        <f t="shared" ref="E7:E21" si="0">SUM(C7*D7)</f>
        <v>252304</v>
      </c>
      <c r="F7" s="130">
        <v>7.25</v>
      </c>
      <c r="G7" s="126">
        <f>SUM(E7/7.25%)</f>
        <v>3480055.1724137934</v>
      </c>
      <c r="H7" s="149">
        <v>0.91620000000000001</v>
      </c>
      <c r="I7" s="153">
        <f t="shared" ref="I7:I10" si="1">SUM(G7*H7)</f>
        <v>3188426.5489655174</v>
      </c>
      <c r="J7" s="20"/>
      <c r="K7" s="20"/>
      <c r="L7" s="20"/>
      <c r="N7" s="50"/>
      <c r="O7" s="50"/>
      <c r="P7" s="50"/>
      <c r="Q7" s="50"/>
      <c r="R7" s="50"/>
      <c r="S7" s="39"/>
      <c r="T7" s="20"/>
      <c r="U7" s="20"/>
    </row>
    <row r="8" spans="1:22" ht="18.75" x14ac:dyDescent="0.3">
      <c r="A8" s="128" t="s">
        <v>193</v>
      </c>
      <c r="B8" s="129">
        <v>629</v>
      </c>
      <c r="C8" s="130"/>
      <c r="D8" s="130"/>
      <c r="E8" s="139">
        <f t="shared" si="0"/>
        <v>0</v>
      </c>
      <c r="F8" s="130"/>
      <c r="G8" s="137"/>
      <c r="H8" s="149"/>
      <c r="I8" s="153">
        <f t="shared" si="1"/>
        <v>0</v>
      </c>
      <c r="J8" s="20"/>
      <c r="K8" s="20"/>
      <c r="L8" s="20"/>
      <c r="N8" s="50"/>
      <c r="O8" s="50"/>
      <c r="P8" s="50"/>
      <c r="Q8" s="50"/>
      <c r="R8" s="50"/>
      <c r="S8" s="39"/>
      <c r="T8" s="20"/>
      <c r="U8" s="20"/>
    </row>
    <row r="9" spans="1:22" ht="18.75" x14ac:dyDescent="0.3">
      <c r="A9" s="128" t="s">
        <v>206</v>
      </c>
      <c r="B9" s="129">
        <v>185</v>
      </c>
      <c r="C9" s="130">
        <v>1991</v>
      </c>
      <c r="D9" s="130">
        <v>20</v>
      </c>
      <c r="E9" s="139">
        <f t="shared" si="0"/>
        <v>39820</v>
      </c>
      <c r="F9" s="130">
        <v>7.25</v>
      </c>
      <c r="G9" s="137">
        <f t="shared" ref="G9" si="2">SUM(E9/F9)*100</f>
        <v>549241.37931034481</v>
      </c>
      <c r="H9" s="149">
        <v>0.91620000000000001</v>
      </c>
      <c r="I9" s="153">
        <f t="shared" si="1"/>
        <v>503214.95172413794</v>
      </c>
      <c r="J9" s="20"/>
      <c r="K9" s="20"/>
      <c r="L9" s="20"/>
      <c r="N9" s="50"/>
      <c r="O9" s="50"/>
      <c r="P9" s="50"/>
      <c r="Q9" s="50"/>
      <c r="R9" s="50"/>
      <c r="S9" s="39"/>
      <c r="T9" s="20"/>
      <c r="U9" s="20"/>
    </row>
    <row r="10" spans="1:22" ht="18.75" x14ac:dyDescent="0.3">
      <c r="A10" s="128" t="s">
        <v>207</v>
      </c>
      <c r="B10" s="129">
        <v>4970</v>
      </c>
      <c r="C10" s="130">
        <v>53497</v>
      </c>
      <c r="D10" s="130">
        <v>36</v>
      </c>
      <c r="E10" s="139">
        <f>SUM(C10*D10)</f>
        <v>1925892</v>
      </c>
      <c r="F10" s="130">
        <v>5.5</v>
      </c>
      <c r="G10" s="137">
        <f>SUM(E10/5.5%)</f>
        <v>35016218.18181818</v>
      </c>
      <c r="H10" s="149">
        <v>0.94789999999999996</v>
      </c>
      <c r="I10" s="151">
        <f t="shared" si="1"/>
        <v>33191873.214545451</v>
      </c>
      <c r="J10" s="20"/>
      <c r="K10" s="20"/>
      <c r="L10" s="20"/>
      <c r="N10" s="44"/>
      <c r="O10" s="50"/>
      <c r="P10" s="50"/>
      <c r="Q10" s="50"/>
      <c r="R10" s="50"/>
      <c r="S10" s="20"/>
      <c r="T10" s="20"/>
      <c r="U10" s="20"/>
    </row>
    <row r="11" spans="1:22" ht="18.75" x14ac:dyDescent="0.3">
      <c r="A11" s="128" t="s">
        <v>203</v>
      </c>
      <c r="B11" s="129">
        <v>4359</v>
      </c>
      <c r="C11" s="130"/>
      <c r="D11" s="130"/>
      <c r="E11" s="139">
        <f t="shared" si="0"/>
        <v>0</v>
      </c>
      <c r="F11" s="130"/>
      <c r="G11" s="137"/>
      <c r="H11" s="149"/>
      <c r="I11" s="151"/>
      <c r="J11" s="20"/>
      <c r="K11" s="20"/>
      <c r="L11" s="20"/>
      <c r="N11" s="44"/>
      <c r="O11" s="50"/>
      <c r="P11" s="50"/>
      <c r="Q11" s="50"/>
      <c r="R11" s="50"/>
      <c r="S11" s="20"/>
      <c r="T11" s="20"/>
      <c r="U11" s="20"/>
    </row>
    <row r="12" spans="1:22" ht="18.75" x14ac:dyDescent="0.3">
      <c r="A12" s="131"/>
      <c r="B12" s="132"/>
      <c r="C12" s="130"/>
      <c r="D12" s="130"/>
      <c r="E12" s="139">
        <f t="shared" si="0"/>
        <v>0</v>
      </c>
      <c r="F12" s="130"/>
      <c r="G12" s="137"/>
      <c r="H12" s="149"/>
      <c r="I12" s="151"/>
      <c r="J12" s="20"/>
      <c r="K12" s="20"/>
      <c r="L12" s="20"/>
      <c r="N12" s="44"/>
      <c r="O12" s="50"/>
      <c r="P12" s="50"/>
      <c r="Q12" s="50"/>
      <c r="R12" s="50"/>
      <c r="S12" s="20"/>
      <c r="T12" s="20"/>
      <c r="U12" s="20"/>
    </row>
    <row r="13" spans="1:22" ht="18.75" x14ac:dyDescent="0.3">
      <c r="A13" s="131"/>
      <c r="B13" s="132"/>
      <c r="C13" s="130"/>
      <c r="D13" s="130"/>
      <c r="E13" s="139">
        <f t="shared" si="0"/>
        <v>0</v>
      </c>
      <c r="F13" s="130"/>
      <c r="G13" s="137"/>
      <c r="H13" s="149"/>
      <c r="I13" s="151"/>
      <c r="J13" s="20"/>
      <c r="K13" s="20"/>
      <c r="L13" s="20"/>
      <c r="N13" s="50"/>
      <c r="O13" s="50"/>
      <c r="P13" s="20"/>
      <c r="Q13" s="20"/>
      <c r="R13" s="20"/>
      <c r="S13" s="52"/>
      <c r="T13" s="39"/>
      <c r="U13" s="20"/>
    </row>
    <row r="14" spans="1:22" ht="18.75" x14ac:dyDescent="0.3">
      <c r="A14" s="131"/>
      <c r="B14" s="132"/>
      <c r="C14" s="130"/>
      <c r="D14" s="130"/>
      <c r="E14" s="139">
        <f t="shared" si="0"/>
        <v>0</v>
      </c>
      <c r="F14" s="130"/>
      <c r="G14" s="137"/>
      <c r="H14" s="149"/>
      <c r="I14" s="151"/>
      <c r="J14" s="20"/>
      <c r="K14" s="20"/>
      <c r="L14" s="20"/>
      <c r="N14" s="50"/>
      <c r="O14" s="50"/>
      <c r="P14" s="20"/>
      <c r="Q14" s="20"/>
      <c r="R14" s="20"/>
      <c r="S14" s="52"/>
      <c r="T14" s="20"/>
      <c r="U14" s="20"/>
    </row>
    <row r="15" spans="1:22" ht="18.75" x14ac:dyDescent="0.3">
      <c r="A15" s="131"/>
      <c r="B15" s="132"/>
      <c r="C15" s="130"/>
      <c r="D15" s="130"/>
      <c r="E15" s="139">
        <f t="shared" si="0"/>
        <v>0</v>
      </c>
      <c r="F15" s="130"/>
      <c r="G15" s="137"/>
      <c r="H15" s="149"/>
      <c r="I15" s="151"/>
      <c r="J15" s="20"/>
      <c r="K15" s="20"/>
      <c r="L15" s="20"/>
      <c r="N15" s="50"/>
      <c r="O15" s="50"/>
      <c r="P15" s="20"/>
      <c r="Q15" s="20"/>
      <c r="R15" s="20"/>
      <c r="S15" s="53"/>
      <c r="T15" s="52"/>
      <c r="U15" s="20"/>
    </row>
    <row r="16" spans="1:22" ht="18.75" x14ac:dyDescent="0.3">
      <c r="A16" s="131"/>
      <c r="B16" s="132"/>
      <c r="C16" s="130"/>
      <c r="D16" s="130"/>
      <c r="E16" s="139">
        <f t="shared" si="0"/>
        <v>0</v>
      </c>
      <c r="F16" s="130"/>
      <c r="G16" s="137"/>
      <c r="H16" s="149"/>
      <c r="I16" s="151"/>
      <c r="J16" s="20"/>
      <c r="K16" s="20"/>
      <c r="L16" s="20"/>
      <c r="N16" s="50"/>
      <c r="O16" s="50"/>
      <c r="P16" s="20"/>
      <c r="Q16" s="20"/>
      <c r="R16" s="20"/>
      <c r="S16" s="52"/>
      <c r="T16" s="20"/>
      <c r="U16" s="20"/>
    </row>
    <row r="17" spans="1:21" ht="18.75" x14ac:dyDescent="0.3">
      <c r="A17" s="131"/>
      <c r="B17" s="132"/>
      <c r="C17" s="130"/>
      <c r="D17" s="130"/>
      <c r="E17" s="139">
        <f t="shared" si="0"/>
        <v>0</v>
      </c>
      <c r="F17" s="130"/>
      <c r="G17" s="137"/>
      <c r="H17" s="149"/>
      <c r="I17" s="151"/>
      <c r="J17" s="20"/>
      <c r="K17" s="20"/>
      <c r="L17" s="20"/>
      <c r="N17" s="50"/>
      <c r="O17" s="50"/>
      <c r="P17" s="20"/>
      <c r="Q17" s="20"/>
      <c r="R17" s="20"/>
      <c r="S17" s="52"/>
      <c r="T17" s="35"/>
      <c r="U17" s="20"/>
    </row>
    <row r="18" spans="1:21" ht="18.75" x14ac:dyDescent="0.3">
      <c r="A18" s="131"/>
      <c r="B18" s="132"/>
      <c r="C18" s="130"/>
      <c r="D18" s="130"/>
      <c r="E18" s="139">
        <f t="shared" si="0"/>
        <v>0</v>
      </c>
      <c r="F18" s="130"/>
      <c r="G18" s="137"/>
      <c r="H18" s="149"/>
      <c r="I18" s="151"/>
      <c r="J18" s="20"/>
      <c r="K18" s="20"/>
      <c r="L18" s="20"/>
      <c r="N18" s="50"/>
      <c r="O18" s="50"/>
      <c r="P18" s="20"/>
      <c r="Q18" s="20"/>
      <c r="R18" s="20"/>
      <c r="S18" s="52"/>
      <c r="T18" s="35"/>
      <c r="U18" s="20"/>
    </row>
    <row r="19" spans="1:21" ht="18.75" x14ac:dyDescent="0.3">
      <c r="A19" s="131"/>
      <c r="B19" s="132"/>
      <c r="C19" s="130"/>
      <c r="D19" s="130"/>
      <c r="E19" s="139">
        <f t="shared" si="0"/>
        <v>0</v>
      </c>
      <c r="F19" s="130"/>
      <c r="G19" s="137"/>
      <c r="H19" s="149"/>
      <c r="I19" s="151"/>
      <c r="J19" s="20"/>
      <c r="K19" s="20"/>
      <c r="L19" s="20"/>
      <c r="N19" s="50"/>
      <c r="O19" s="50"/>
      <c r="P19" s="20"/>
      <c r="Q19" s="20"/>
      <c r="R19" s="20"/>
      <c r="S19" s="52"/>
      <c r="T19" s="35"/>
      <c r="U19" s="20"/>
    </row>
    <row r="20" spans="1:21" ht="18.75" x14ac:dyDescent="0.3">
      <c r="A20" s="131"/>
      <c r="B20" s="132"/>
      <c r="C20" s="130"/>
      <c r="D20" s="130"/>
      <c r="E20" s="139">
        <f t="shared" si="0"/>
        <v>0</v>
      </c>
      <c r="F20" s="130"/>
      <c r="G20" s="137"/>
      <c r="H20" s="149"/>
      <c r="I20" s="151"/>
      <c r="J20" s="20"/>
      <c r="K20" s="20"/>
      <c r="L20" s="20"/>
      <c r="N20" s="50"/>
      <c r="O20" s="50"/>
      <c r="P20" s="20"/>
      <c r="Q20" s="20"/>
      <c r="R20" s="20"/>
      <c r="S20" s="52"/>
      <c r="T20" s="39"/>
      <c r="U20" s="20"/>
    </row>
    <row r="21" spans="1:21" ht="19.5" thickBot="1" x14ac:dyDescent="0.35">
      <c r="A21" s="131"/>
      <c r="B21" s="132"/>
      <c r="C21" s="130"/>
      <c r="D21" s="130"/>
      <c r="E21" s="139">
        <f t="shared" si="0"/>
        <v>0</v>
      </c>
      <c r="F21" s="130"/>
      <c r="G21" s="137"/>
      <c r="H21" s="149"/>
      <c r="I21" s="152"/>
      <c r="J21" s="20"/>
      <c r="K21" s="20"/>
      <c r="L21" s="20"/>
      <c r="N21" s="50"/>
      <c r="O21" s="50"/>
      <c r="P21" s="20"/>
      <c r="Q21" s="20"/>
      <c r="R21" s="20"/>
      <c r="S21" s="52"/>
      <c r="T21" s="35"/>
      <c r="U21" s="20"/>
    </row>
    <row r="22" spans="1:21" ht="19.5" thickBot="1" x14ac:dyDescent="0.35">
      <c r="A22" s="62" t="s">
        <v>91</v>
      </c>
      <c r="B22" s="64">
        <f>SUM(B6:B21)</f>
        <v>21296</v>
      </c>
      <c r="C22" s="87">
        <f>SUM(C6:C21)</f>
        <v>175538</v>
      </c>
      <c r="D22" s="87"/>
      <c r="E22" s="154">
        <f>SUM(E6:E21)</f>
        <v>5972132</v>
      </c>
      <c r="F22" s="87"/>
      <c r="G22" s="127">
        <f>SUM(G6:G21)</f>
        <v>107302169.27899686</v>
      </c>
      <c r="H22" s="20"/>
      <c r="I22" s="127">
        <f>SUM(I6:I21)</f>
        <v>101583997.55887148</v>
      </c>
      <c r="J22" s="20"/>
      <c r="K22" s="20"/>
      <c r="L22" s="20"/>
      <c r="N22" s="50"/>
      <c r="O22" s="50"/>
      <c r="P22" s="20"/>
      <c r="Q22" s="20"/>
      <c r="R22" s="20"/>
      <c r="S22" s="52"/>
      <c r="T22" s="39"/>
      <c r="U22" s="20"/>
    </row>
    <row r="23" spans="1:21" ht="18.75" x14ac:dyDescent="0.3">
      <c r="A23" s="50"/>
      <c r="B23" s="50"/>
      <c r="C23" s="20"/>
      <c r="D23" s="20"/>
      <c r="E23" s="20"/>
      <c r="F23" s="20"/>
      <c r="G23" s="21"/>
      <c r="H23" s="20"/>
      <c r="I23" s="20"/>
      <c r="J23" s="20"/>
      <c r="K23" s="20"/>
      <c r="L23" s="20"/>
      <c r="N23" s="50"/>
      <c r="O23" s="50"/>
      <c r="P23" s="20"/>
      <c r="Q23" s="20"/>
      <c r="R23" s="20"/>
      <c r="S23" s="52"/>
      <c r="T23" s="39"/>
      <c r="U23" s="20"/>
    </row>
    <row r="24" spans="1:21" ht="18.75" x14ac:dyDescent="0.3">
      <c r="A24" s="9" t="s">
        <v>128</v>
      </c>
      <c r="B24" s="9"/>
      <c r="C24" s="10"/>
      <c r="D24" s="10"/>
      <c r="E24" s="45">
        <f>SUM(I22)</f>
        <v>101583997.55887148</v>
      </c>
      <c r="N24" s="50"/>
      <c r="O24" s="50"/>
      <c r="P24" s="20"/>
      <c r="Q24" s="20"/>
      <c r="R24" s="20"/>
      <c r="S24" s="20"/>
      <c r="T24" s="39"/>
      <c r="U24" s="20"/>
    </row>
    <row r="25" spans="1:21" ht="18.75" x14ac:dyDescent="0.3">
      <c r="N25" s="50"/>
      <c r="O25" s="50"/>
      <c r="P25" s="20"/>
      <c r="Q25" s="20"/>
      <c r="R25" s="20"/>
      <c r="S25" s="54"/>
      <c r="T25" s="39"/>
      <c r="U25" s="20"/>
    </row>
    <row r="26" spans="1:21" ht="18.75" x14ac:dyDescent="0.3">
      <c r="N26" s="50"/>
      <c r="O26" s="50"/>
      <c r="P26" s="20"/>
      <c r="Q26" s="20"/>
      <c r="R26" s="20"/>
      <c r="S26" s="20"/>
      <c r="T26" s="39"/>
      <c r="U26" s="20"/>
    </row>
    <row r="27" spans="1:21" ht="18.75" x14ac:dyDescent="0.3">
      <c r="N27" s="50"/>
      <c r="O27" s="50"/>
      <c r="P27" s="20"/>
      <c r="Q27" s="20"/>
      <c r="R27" s="20"/>
      <c r="S27" s="55"/>
      <c r="T27" s="48"/>
      <c r="U27" s="20"/>
    </row>
    <row r="28" spans="1:21" ht="18.75" x14ac:dyDescent="0.3">
      <c r="N28" s="50"/>
      <c r="O28" s="50"/>
      <c r="P28" s="20"/>
      <c r="Q28" s="20"/>
      <c r="R28" s="20"/>
      <c r="S28" s="20"/>
      <c r="T28" s="20"/>
      <c r="U28" s="20"/>
    </row>
    <row r="29" spans="1:21" ht="18.75" x14ac:dyDescent="0.3">
      <c r="N29" s="50"/>
      <c r="O29" s="50"/>
      <c r="P29" s="20"/>
      <c r="Q29" s="20"/>
      <c r="R29" s="20"/>
      <c r="S29" s="56"/>
      <c r="T29" s="20"/>
      <c r="U29" s="20"/>
    </row>
    <row r="30" spans="1:21" ht="18.75" x14ac:dyDescent="0.3">
      <c r="N30" s="50"/>
      <c r="O30" s="50"/>
      <c r="P30" s="20"/>
      <c r="Q30" s="20"/>
      <c r="R30" s="20"/>
      <c r="S30" s="20"/>
      <c r="T30" s="20"/>
      <c r="U30" s="20"/>
    </row>
    <row r="31" spans="1:21" ht="18.75" x14ac:dyDescent="0.3">
      <c r="N31" s="50"/>
      <c r="O31" s="50"/>
      <c r="P31" s="20"/>
      <c r="Q31" s="20"/>
      <c r="R31" s="20"/>
      <c r="S31" s="39"/>
      <c r="T31" s="20"/>
      <c r="U31" s="20"/>
    </row>
    <row r="32" spans="1:21" ht="20.25" x14ac:dyDescent="0.3">
      <c r="A32" s="49"/>
      <c r="B32" s="4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N33" s="20"/>
      <c r="O33" s="20"/>
      <c r="P33" s="20"/>
      <c r="Q33" s="20"/>
      <c r="R33" s="20"/>
      <c r="S33" s="20"/>
      <c r="T33" s="20"/>
      <c r="U33" s="20"/>
    </row>
    <row r="34" spans="1:21" ht="18.75" x14ac:dyDescent="0.3">
      <c r="A34" s="44"/>
      <c r="B34" s="44"/>
      <c r="C34" s="50"/>
      <c r="D34" s="50"/>
      <c r="E34" s="50"/>
      <c r="F34" s="50"/>
      <c r="G34" s="51"/>
      <c r="H34" s="20"/>
      <c r="I34" s="20"/>
      <c r="J34" s="20"/>
      <c r="K34" s="20"/>
      <c r="L34" s="20"/>
      <c r="N34" s="20"/>
      <c r="O34" s="20"/>
      <c r="P34" s="20"/>
      <c r="Q34" s="20"/>
      <c r="R34" s="20"/>
      <c r="S34" s="20"/>
      <c r="T34" s="20"/>
      <c r="U34" s="20"/>
    </row>
    <row r="35" spans="1:21" ht="18.75" x14ac:dyDescent="0.3">
      <c r="A35" s="50"/>
      <c r="B35" s="50"/>
      <c r="C35" s="50"/>
      <c r="D35" s="50"/>
      <c r="E35" s="50"/>
      <c r="F35" s="50"/>
      <c r="G35" s="39"/>
      <c r="H35" s="20"/>
      <c r="I35" s="20"/>
      <c r="J35" s="20"/>
      <c r="K35" s="20"/>
      <c r="L35" s="20"/>
      <c r="N35" s="20"/>
      <c r="O35" s="20"/>
      <c r="P35" s="20"/>
      <c r="Q35" s="20"/>
      <c r="R35" s="20"/>
      <c r="S35" s="20"/>
      <c r="T35" s="20"/>
      <c r="U35" s="20"/>
    </row>
    <row r="36" spans="1:21" ht="18.75" x14ac:dyDescent="0.3">
      <c r="A36" s="50"/>
      <c r="B36" s="50"/>
      <c r="C36" s="50"/>
      <c r="D36" s="50"/>
      <c r="E36" s="50"/>
      <c r="F36" s="50"/>
      <c r="G36" s="39"/>
      <c r="H36" s="20"/>
      <c r="I36" s="20"/>
      <c r="J36" s="20"/>
      <c r="K36" s="20"/>
      <c r="L36" s="20"/>
    </row>
    <row r="37" spans="1:21" ht="18.75" x14ac:dyDescent="0.3">
      <c r="A37" s="50"/>
      <c r="B37" s="50"/>
      <c r="C37" s="50"/>
      <c r="D37" s="50"/>
      <c r="E37" s="50"/>
      <c r="F37" s="50"/>
      <c r="G37" s="39"/>
      <c r="H37" s="20"/>
      <c r="I37" s="20"/>
      <c r="J37" s="20"/>
      <c r="K37" s="20"/>
      <c r="L37" s="20"/>
    </row>
    <row r="38" spans="1:21" ht="18.75" x14ac:dyDescent="0.3">
      <c r="A38" s="50"/>
      <c r="B38" s="50"/>
      <c r="C38" s="50"/>
      <c r="D38" s="50"/>
      <c r="E38" s="50"/>
      <c r="F38" s="50"/>
      <c r="G38" s="39"/>
      <c r="H38" s="20"/>
      <c r="I38" s="20"/>
      <c r="J38" s="20"/>
      <c r="K38" s="20"/>
      <c r="L38" s="20"/>
    </row>
    <row r="39" spans="1:21" ht="18.75" x14ac:dyDescent="0.3">
      <c r="A39" s="44"/>
      <c r="B39" s="44"/>
      <c r="C39" s="50"/>
      <c r="D39" s="50"/>
      <c r="E39" s="50"/>
      <c r="F39" s="50"/>
      <c r="G39" s="20"/>
      <c r="H39" s="20"/>
      <c r="I39" s="20"/>
      <c r="J39" s="20"/>
      <c r="K39" s="20"/>
      <c r="L39" s="20"/>
    </row>
    <row r="40" spans="1:21" ht="18.75" x14ac:dyDescent="0.3">
      <c r="A40" s="44"/>
      <c r="B40" s="44"/>
      <c r="C40" s="50"/>
      <c r="D40" s="50"/>
      <c r="E40" s="50"/>
      <c r="F40" s="50"/>
      <c r="G40" s="20"/>
      <c r="H40" s="20"/>
      <c r="I40" s="20"/>
      <c r="J40" s="20"/>
      <c r="K40" s="20"/>
      <c r="L40" s="20"/>
    </row>
    <row r="41" spans="1:21" ht="18.75" x14ac:dyDescent="0.3">
      <c r="A41" s="44"/>
      <c r="B41" s="44"/>
      <c r="C41" s="50"/>
      <c r="D41" s="50"/>
      <c r="E41" s="50"/>
      <c r="F41" s="50"/>
      <c r="G41" s="20"/>
      <c r="H41" s="20"/>
      <c r="I41" s="20"/>
      <c r="J41" s="20"/>
      <c r="K41" s="20"/>
      <c r="L41" s="20"/>
    </row>
    <row r="42" spans="1:21" ht="18.75" x14ac:dyDescent="0.3">
      <c r="A42" s="50"/>
      <c r="B42" s="50"/>
      <c r="C42" s="50"/>
      <c r="D42" s="20"/>
      <c r="E42" s="20"/>
      <c r="F42" s="20"/>
      <c r="G42" s="52"/>
      <c r="H42" s="39"/>
      <c r="I42" s="20"/>
      <c r="J42" s="20"/>
      <c r="K42" s="20"/>
      <c r="L42" s="20"/>
    </row>
    <row r="43" spans="1:21" ht="18.75" x14ac:dyDescent="0.3">
      <c r="A43" s="50"/>
      <c r="B43" s="50"/>
      <c r="C43" s="50"/>
      <c r="D43" s="20"/>
      <c r="E43" s="20"/>
      <c r="F43" s="20"/>
      <c r="G43" s="52"/>
      <c r="H43" s="20"/>
      <c r="I43" s="20"/>
      <c r="J43" s="20"/>
      <c r="K43" s="20"/>
      <c r="L43" s="20"/>
    </row>
    <row r="44" spans="1:21" ht="18.75" x14ac:dyDescent="0.3">
      <c r="A44" s="50"/>
      <c r="B44" s="50"/>
      <c r="C44" s="50"/>
      <c r="D44" s="20"/>
      <c r="E44" s="20"/>
      <c r="F44" s="20"/>
      <c r="G44" s="53"/>
      <c r="H44" s="52"/>
      <c r="I44" s="20"/>
      <c r="J44" s="20"/>
      <c r="K44" s="20"/>
      <c r="L44" s="20"/>
    </row>
    <row r="45" spans="1:21" ht="18.75" x14ac:dyDescent="0.3">
      <c r="A45" s="50"/>
      <c r="B45" s="50"/>
      <c r="C45" s="50"/>
      <c r="D45" s="20"/>
      <c r="E45" s="20"/>
      <c r="F45" s="20"/>
      <c r="G45" s="52"/>
      <c r="H45" s="20"/>
      <c r="I45" s="20"/>
      <c r="J45" s="20"/>
      <c r="K45" s="20"/>
      <c r="L45" s="20"/>
    </row>
    <row r="46" spans="1:21" ht="18.75" x14ac:dyDescent="0.3">
      <c r="A46" s="50"/>
      <c r="B46" s="50"/>
      <c r="C46" s="50"/>
      <c r="D46" s="20"/>
      <c r="E46" s="20"/>
      <c r="F46" s="20"/>
      <c r="G46" s="52"/>
      <c r="H46" s="35"/>
      <c r="I46" s="20"/>
      <c r="J46" s="20"/>
      <c r="K46" s="20"/>
      <c r="L46" s="20"/>
    </row>
    <row r="47" spans="1:21" ht="18.75" x14ac:dyDescent="0.3">
      <c r="A47" s="50"/>
      <c r="B47" s="50"/>
      <c r="C47" s="50"/>
      <c r="D47" s="20"/>
      <c r="E47" s="20"/>
      <c r="F47" s="20"/>
      <c r="G47" s="52"/>
      <c r="H47" s="35"/>
      <c r="I47" s="20"/>
      <c r="J47" s="20"/>
      <c r="K47" s="20"/>
      <c r="L47" s="20"/>
    </row>
    <row r="48" spans="1:21" ht="18.75" x14ac:dyDescent="0.3">
      <c r="A48" s="50"/>
      <c r="B48" s="50"/>
      <c r="C48" s="50"/>
      <c r="D48" s="20"/>
      <c r="E48" s="20"/>
      <c r="F48" s="20"/>
      <c r="G48" s="52"/>
      <c r="H48" s="35"/>
      <c r="I48" s="20"/>
      <c r="J48" s="20"/>
      <c r="K48" s="20"/>
      <c r="L48" s="20"/>
    </row>
    <row r="49" spans="1:18" ht="18.75" x14ac:dyDescent="0.3">
      <c r="A49" s="50"/>
      <c r="B49" s="50"/>
      <c r="C49" s="50"/>
      <c r="D49" s="20"/>
      <c r="E49" s="20"/>
      <c r="F49" s="20"/>
      <c r="G49" s="52"/>
      <c r="H49" s="39"/>
      <c r="I49" s="20"/>
      <c r="J49" s="20"/>
      <c r="K49" s="20"/>
      <c r="L49" s="20"/>
    </row>
    <row r="50" spans="1:18" ht="18.75" x14ac:dyDescent="0.3">
      <c r="A50" s="50"/>
      <c r="B50" s="50"/>
      <c r="C50" s="50"/>
      <c r="D50" s="20"/>
      <c r="E50" s="20"/>
      <c r="F50" s="20"/>
      <c r="G50" s="52"/>
      <c r="H50" s="35"/>
      <c r="I50" s="20"/>
      <c r="J50" s="20"/>
      <c r="K50" s="20"/>
      <c r="L50" s="20"/>
    </row>
    <row r="51" spans="1:18" ht="18.75" x14ac:dyDescent="0.3">
      <c r="A51" s="50"/>
      <c r="B51" s="50"/>
      <c r="C51" s="50"/>
      <c r="D51" s="20"/>
      <c r="E51" s="20"/>
      <c r="F51" s="20"/>
      <c r="G51" s="52"/>
      <c r="H51" s="39"/>
      <c r="I51" s="20"/>
      <c r="J51" s="20"/>
      <c r="K51" s="20"/>
      <c r="L51" s="20"/>
    </row>
    <row r="52" spans="1:18" ht="18.75" x14ac:dyDescent="0.3">
      <c r="A52" s="50"/>
      <c r="B52" s="50"/>
      <c r="C52" s="50"/>
      <c r="D52" s="20"/>
      <c r="E52" s="20"/>
      <c r="F52" s="20"/>
      <c r="G52" s="52"/>
      <c r="H52" s="39"/>
      <c r="I52" s="20"/>
      <c r="J52" s="20"/>
      <c r="K52" s="20"/>
      <c r="L52" s="20"/>
    </row>
    <row r="53" spans="1:18" ht="18.75" x14ac:dyDescent="0.3">
      <c r="A53" s="50"/>
      <c r="B53" s="50"/>
      <c r="C53" s="50"/>
      <c r="D53" s="20"/>
      <c r="E53" s="20"/>
      <c r="F53" s="20"/>
      <c r="G53" s="20"/>
      <c r="H53" s="39"/>
      <c r="I53" s="20"/>
      <c r="J53" s="20"/>
      <c r="K53" s="20"/>
      <c r="L53" s="20"/>
    </row>
    <row r="54" spans="1:18" ht="18.75" x14ac:dyDescent="0.3">
      <c r="A54" s="50"/>
      <c r="B54" s="50"/>
      <c r="C54" s="50"/>
      <c r="D54" s="20"/>
      <c r="E54" s="20"/>
      <c r="F54" s="20"/>
      <c r="G54" s="54"/>
      <c r="H54" s="39"/>
      <c r="I54" s="20"/>
      <c r="J54" s="20"/>
      <c r="K54" s="20"/>
      <c r="L54" s="20"/>
      <c r="R54" s="18"/>
    </row>
    <row r="55" spans="1:18" ht="18.75" x14ac:dyDescent="0.3">
      <c r="A55" s="50"/>
      <c r="B55" s="50"/>
      <c r="C55" s="50"/>
      <c r="D55" s="20"/>
      <c r="E55" s="20"/>
      <c r="F55" s="20"/>
      <c r="G55" s="20"/>
      <c r="H55" s="39"/>
      <c r="I55" s="20"/>
      <c r="J55" s="20"/>
      <c r="K55" s="20"/>
      <c r="L55" s="20"/>
      <c r="R55" s="18"/>
    </row>
    <row r="56" spans="1:18" ht="18.75" x14ac:dyDescent="0.3">
      <c r="A56" s="50"/>
      <c r="B56" s="50"/>
      <c r="C56" s="50"/>
      <c r="D56" s="20"/>
      <c r="E56" s="20"/>
      <c r="F56" s="20"/>
      <c r="G56" s="55"/>
      <c r="H56" s="48"/>
      <c r="I56" s="20"/>
      <c r="J56" s="20"/>
      <c r="K56" s="20"/>
      <c r="L56" s="20"/>
    </row>
    <row r="57" spans="1:18" ht="18.75" x14ac:dyDescent="0.3">
      <c r="A57" s="50"/>
      <c r="B57" s="50"/>
      <c r="C57" s="50"/>
      <c r="D57" s="20"/>
      <c r="E57" s="20"/>
      <c r="F57" s="20"/>
      <c r="G57" s="20"/>
      <c r="H57" s="20"/>
      <c r="I57" s="20"/>
      <c r="J57" s="20"/>
      <c r="K57" s="20"/>
      <c r="L57" s="20"/>
      <c r="R57" s="18"/>
    </row>
    <row r="58" spans="1:18" ht="18.75" x14ac:dyDescent="0.3">
      <c r="A58" s="50"/>
      <c r="B58" s="50"/>
      <c r="C58" s="50"/>
      <c r="D58" s="20"/>
      <c r="E58" s="20"/>
      <c r="F58" s="20"/>
      <c r="G58" s="56"/>
      <c r="H58" s="20"/>
      <c r="I58" s="20"/>
      <c r="J58" s="20"/>
      <c r="K58" s="20"/>
      <c r="L58" s="20"/>
    </row>
    <row r="59" spans="1:18" ht="18.75" x14ac:dyDescent="0.3">
      <c r="A59" s="50"/>
      <c r="B59" s="50"/>
      <c r="C59" s="50"/>
      <c r="D59" s="20"/>
      <c r="E59" s="20"/>
      <c r="F59" s="20"/>
      <c r="G59" s="20"/>
      <c r="H59" s="20"/>
      <c r="I59" s="20"/>
      <c r="J59" s="20"/>
      <c r="K59" s="20"/>
      <c r="L59" s="20"/>
    </row>
    <row r="60" spans="1:18" ht="18.75" x14ac:dyDescent="0.3">
      <c r="A60" s="50"/>
      <c r="B60" s="50"/>
      <c r="C60" s="50"/>
      <c r="D60" s="20"/>
      <c r="E60" s="20"/>
      <c r="F60" s="20"/>
      <c r="G60" s="39"/>
      <c r="H60" s="20"/>
      <c r="I60" s="20"/>
      <c r="J60" s="20"/>
      <c r="K60" s="20"/>
      <c r="L60" s="20"/>
    </row>
    <row r="61" spans="1:18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spans="1:18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</sheetData>
  <sheetProtection algorithmName="SHA-512" hashValue="O0Jd4hAcRlbb7C3Iafce0Le5Plqjg9vzOV58Y9ekibhbjXHKDMHDCj/kdHbk4HCSnvuGArjn0MhN345dlDkAMA==" saltValue="fPIPZUZx13gG7ymso2ehrA==" spinCount="100000" sheet="1" selectLockedCells="1"/>
  <pageMargins left="0.7" right="0.7" top="0.75" bottom="0.75" header="0.3" footer="0.3"/>
  <pageSetup paperSize="8" scale="68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586F-3938-4223-B333-8534EC195385}">
  <sheetPr>
    <pageSetUpPr fitToPage="1"/>
  </sheetPr>
  <dimension ref="A1:J76"/>
  <sheetViews>
    <sheetView topLeftCell="A46" workbookViewId="0">
      <selection activeCell="B45" sqref="B45"/>
    </sheetView>
  </sheetViews>
  <sheetFormatPr defaultRowHeight="15" x14ac:dyDescent="0.25"/>
  <cols>
    <col min="1" max="1" width="77" bestFit="1" customWidth="1"/>
    <col min="2" max="2" width="18.85546875" bestFit="1" customWidth="1"/>
    <col min="3" max="3" width="33" bestFit="1" customWidth="1"/>
    <col min="4" max="4" width="38" bestFit="1" customWidth="1"/>
    <col min="5" max="5" width="38.28515625" bestFit="1" customWidth="1"/>
    <col min="7" max="7" width="12.85546875" bestFit="1" customWidth="1"/>
    <col min="8" max="8" width="7.7109375" bestFit="1" customWidth="1"/>
    <col min="9" max="9" width="5.140625" bestFit="1" customWidth="1"/>
    <col min="10" max="10" width="5.7109375" bestFit="1" customWidth="1"/>
  </cols>
  <sheetData>
    <row r="1" spans="1:10" ht="23.25" x14ac:dyDescent="0.35">
      <c r="A1" s="4" t="s">
        <v>72</v>
      </c>
      <c r="B1" s="5"/>
    </row>
    <row r="2" spans="1:10" x14ac:dyDescent="0.25">
      <c r="A2" s="5"/>
      <c r="B2" s="5"/>
    </row>
    <row r="3" spans="1:10" ht="20.25" x14ac:dyDescent="0.3">
      <c r="A3" s="7" t="s">
        <v>129</v>
      </c>
      <c r="B3" s="8"/>
    </row>
    <row r="4" spans="1:10" ht="15.75" x14ac:dyDescent="0.25">
      <c r="A4" s="31"/>
      <c r="B4" s="2" t="s">
        <v>15</v>
      </c>
      <c r="C4" s="2" t="s">
        <v>15</v>
      </c>
    </row>
    <row r="6" spans="1:10" ht="18.75" x14ac:dyDescent="0.3">
      <c r="A6" s="11" t="s">
        <v>108</v>
      </c>
      <c r="B6" s="65"/>
      <c r="C6" s="66">
        <f>SUM(B6/'Residential Revenue'!K111)</f>
        <v>0</v>
      </c>
      <c r="D6" s="67" t="s">
        <v>40</v>
      </c>
      <c r="E6" s="61"/>
      <c r="F6" s="67"/>
      <c r="G6" s="67"/>
      <c r="H6" s="67"/>
      <c r="I6" s="68"/>
      <c r="J6" s="67"/>
    </row>
    <row r="7" spans="1:10" ht="18.75" x14ac:dyDescent="0.3">
      <c r="A7" s="10"/>
      <c r="B7" s="69"/>
      <c r="C7" s="67"/>
      <c r="D7" s="67"/>
      <c r="E7" s="67"/>
      <c r="F7" s="67"/>
      <c r="G7" s="67"/>
      <c r="H7" s="67"/>
      <c r="I7" s="67"/>
      <c r="J7" s="67"/>
    </row>
    <row r="8" spans="1:10" ht="18.75" x14ac:dyDescent="0.3">
      <c r="A8" s="10" t="s">
        <v>85</v>
      </c>
      <c r="B8" s="71">
        <f>SUM(' Commercial Revenue'!C22*'Commercial Costs'!C8)</f>
        <v>0</v>
      </c>
      <c r="C8" s="72"/>
      <c r="D8" s="67" t="s">
        <v>41</v>
      </c>
      <c r="E8" s="67"/>
      <c r="F8" s="67"/>
      <c r="G8" s="67"/>
      <c r="H8" s="67"/>
      <c r="I8" s="67"/>
      <c r="J8" s="67"/>
    </row>
    <row r="9" spans="1:10" ht="18.75" x14ac:dyDescent="0.3">
      <c r="A9" s="10" t="s">
        <v>83</v>
      </c>
      <c r="B9" s="73">
        <f>SUM(B6:B8)</f>
        <v>0</v>
      </c>
      <c r="C9" s="67"/>
      <c r="D9" s="67"/>
      <c r="E9" s="67"/>
      <c r="F9" s="67"/>
      <c r="G9" s="67"/>
      <c r="H9" s="67"/>
      <c r="I9" s="67"/>
      <c r="J9" s="67"/>
    </row>
    <row r="10" spans="1:10" ht="18.75" x14ac:dyDescent="0.3">
      <c r="A10" s="11" t="s">
        <v>73</v>
      </c>
      <c r="B10" s="69"/>
      <c r="C10" s="67"/>
      <c r="D10" s="67"/>
      <c r="E10" s="67"/>
      <c r="F10" s="67"/>
      <c r="G10" s="67"/>
      <c r="H10" s="67"/>
      <c r="I10" s="68"/>
      <c r="J10" s="67"/>
    </row>
    <row r="11" spans="1:10" ht="18.75" x14ac:dyDescent="0.3">
      <c r="A11" s="10"/>
      <c r="B11" s="65">
        <f>SUM(B9*15%)</f>
        <v>0</v>
      </c>
      <c r="C11" s="67" t="s">
        <v>175</v>
      </c>
      <c r="D11" s="67"/>
      <c r="E11" s="67"/>
      <c r="F11" s="67"/>
      <c r="G11" s="67"/>
      <c r="H11" s="67"/>
      <c r="I11" s="67"/>
      <c r="J11" s="67"/>
    </row>
    <row r="12" spans="1:10" ht="18.75" x14ac:dyDescent="0.3">
      <c r="A12" s="10" t="s">
        <v>42</v>
      </c>
      <c r="B12" s="65"/>
      <c r="C12" s="67"/>
      <c r="D12" s="67"/>
      <c r="E12" s="67"/>
      <c r="F12" s="67"/>
      <c r="G12" s="67"/>
      <c r="H12" s="67"/>
      <c r="I12" s="67"/>
      <c r="J12" s="67"/>
    </row>
    <row r="13" spans="1:10" ht="18.75" x14ac:dyDescent="0.3">
      <c r="A13" s="10"/>
      <c r="B13" s="65"/>
      <c r="C13" s="67"/>
      <c r="D13" s="67"/>
      <c r="E13" s="67"/>
      <c r="F13" s="67"/>
      <c r="G13" s="67"/>
      <c r="H13" s="67"/>
      <c r="I13" s="67"/>
      <c r="J13" s="67"/>
    </row>
    <row r="14" spans="1:10" ht="18.75" x14ac:dyDescent="0.3">
      <c r="A14" s="10"/>
      <c r="B14" s="65"/>
      <c r="C14" s="67"/>
      <c r="D14" s="67"/>
      <c r="E14" s="67"/>
      <c r="F14" s="67"/>
      <c r="G14" s="67"/>
      <c r="H14" s="67"/>
      <c r="I14" s="67"/>
      <c r="J14" s="67"/>
    </row>
    <row r="15" spans="1:10" ht="18.75" x14ac:dyDescent="0.3">
      <c r="A15" s="11"/>
      <c r="B15" s="74"/>
      <c r="C15" s="66"/>
      <c r="D15" s="67"/>
      <c r="E15" s="67"/>
      <c r="F15" s="67"/>
      <c r="G15" s="66"/>
      <c r="H15" s="67"/>
      <c r="I15" s="67"/>
      <c r="J15" s="67"/>
    </row>
    <row r="16" spans="1:10" ht="18.75" x14ac:dyDescent="0.3">
      <c r="A16" s="10"/>
      <c r="B16" s="74"/>
      <c r="C16" s="75"/>
      <c r="D16" s="67"/>
      <c r="E16" s="67"/>
      <c r="F16" s="67"/>
      <c r="G16" s="67"/>
      <c r="H16" s="67"/>
      <c r="I16" s="67"/>
      <c r="J16" s="66"/>
    </row>
    <row r="17" spans="1:10" ht="18.75" x14ac:dyDescent="0.3">
      <c r="A17" s="10"/>
      <c r="B17" s="74"/>
      <c r="C17" s="76"/>
      <c r="D17" s="67"/>
      <c r="E17" s="67"/>
      <c r="F17" s="67"/>
      <c r="G17" s="67"/>
      <c r="H17" s="67"/>
      <c r="I17" s="67"/>
      <c r="J17" s="67"/>
    </row>
    <row r="18" spans="1:10" ht="18.75" x14ac:dyDescent="0.3">
      <c r="A18" s="11"/>
      <c r="B18" s="74"/>
      <c r="C18" s="69"/>
      <c r="D18" s="61" t="s">
        <v>109</v>
      </c>
      <c r="E18" s="66">
        <f>SUM(B12:B19)</f>
        <v>0</v>
      </c>
      <c r="F18" s="67"/>
      <c r="G18" s="67"/>
      <c r="H18" s="67"/>
      <c r="I18" s="67"/>
      <c r="J18" s="67"/>
    </row>
    <row r="19" spans="1:10" ht="18.75" x14ac:dyDescent="0.3">
      <c r="A19" s="10"/>
      <c r="B19" s="74"/>
      <c r="C19" s="75"/>
      <c r="D19" s="61" t="s">
        <v>110</v>
      </c>
      <c r="E19" s="66">
        <f>SUM(B11:B19)</f>
        <v>0</v>
      </c>
      <c r="F19" s="67"/>
      <c r="G19" s="67"/>
      <c r="H19" s="67"/>
      <c r="I19" s="67"/>
      <c r="J19" s="67"/>
    </row>
    <row r="20" spans="1:10" ht="18.75" x14ac:dyDescent="0.3">
      <c r="A20" s="10"/>
      <c r="B20" s="69"/>
      <c r="C20" s="67"/>
      <c r="D20" s="67"/>
      <c r="E20" s="67"/>
      <c r="F20" s="67"/>
      <c r="G20" s="67"/>
      <c r="H20" s="67"/>
      <c r="I20" s="67"/>
      <c r="J20" s="67"/>
    </row>
    <row r="21" spans="1:10" ht="18.75" x14ac:dyDescent="0.3">
      <c r="A21" s="12" t="s">
        <v>23</v>
      </c>
      <c r="B21" s="73">
        <f>SUM(B9:B20)</f>
        <v>0</v>
      </c>
      <c r="C21" s="67"/>
      <c r="D21" s="67"/>
      <c r="E21" s="67"/>
      <c r="F21" s="67"/>
      <c r="G21" s="67"/>
      <c r="H21" s="67"/>
      <c r="I21" s="67"/>
      <c r="J21" s="67"/>
    </row>
    <row r="22" spans="1:10" ht="18.75" x14ac:dyDescent="0.3">
      <c r="A22" s="10"/>
      <c r="B22" s="69"/>
      <c r="C22" s="67"/>
      <c r="D22" s="67"/>
      <c r="E22" s="67"/>
      <c r="F22" s="67"/>
      <c r="G22" s="67"/>
      <c r="H22" s="67"/>
      <c r="I22" s="67"/>
      <c r="J22" s="67"/>
    </row>
    <row r="23" spans="1:10" ht="18.75" x14ac:dyDescent="0.3">
      <c r="A23" s="10"/>
      <c r="B23" s="69"/>
      <c r="C23" s="67"/>
      <c r="D23" s="67"/>
      <c r="E23" s="67"/>
      <c r="F23" s="67"/>
      <c r="G23" s="67"/>
      <c r="H23" s="67"/>
      <c r="I23" s="67"/>
      <c r="J23" s="67"/>
    </row>
    <row r="24" spans="1:10" ht="18.75" x14ac:dyDescent="0.3">
      <c r="A24" s="11" t="s">
        <v>43</v>
      </c>
      <c r="B24" s="69">
        <f>SUM(B21*C24)</f>
        <v>0</v>
      </c>
      <c r="C24" s="77">
        <v>0.05</v>
      </c>
      <c r="D24" s="67"/>
      <c r="E24" s="67"/>
      <c r="F24" s="67"/>
      <c r="G24" s="67"/>
      <c r="H24" s="67"/>
      <c r="I24" s="67"/>
      <c r="J24" s="67"/>
    </row>
    <row r="25" spans="1:10" ht="18.75" x14ac:dyDescent="0.3">
      <c r="A25" s="10"/>
      <c r="B25" s="69"/>
      <c r="C25" s="67"/>
      <c r="D25" s="67"/>
      <c r="E25" s="67"/>
      <c r="F25" s="67"/>
      <c r="G25" s="67"/>
      <c r="H25" s="67"/>
      <c r="I25" s="67"/>
      <c r="J25" s="67"/>
    </row>
    <row r="26" spans="1:10" ht="18.75" x14ac:dyDescent="0.3">
      <c r="A26" s="9" t="s">
        <v>16</v>
      </c>
      <c r="B26" s="73">
        <f>SUM(B21:B24)</f>
        <v>0</v>
      </c>
      <c r="C26" s="67"/>
      <c r="D26" s="67"/>
      <c r="E26" s="67"/>
      <c r="F26" s="67"/>
      <c r="G26" s="67"/>
      <c r="H26" s="67"/>
      <c r="I26" s="67"/>
      <c r="J26" s="67"/>
    </row>
    <row r="27" spans="1:10" ht="18.75" x14ac:dyDescent="0.3">
      <c r="A27" s="10"/>
      <c r="B27" s="69"/>
      <c r="C27" s="67"/>
      <c r="D27" s="67"/>
      <c r="E27" s="67"/>
      <c r="F27" s="67"/>
      <c r="G27" s="67"/>
      <c r="H27" s="67"/>
      <c r="I27" s="67"/>
      <c r="J27" s="67"/>
    </row>
    <row r="28" spans="1:10" ht="18.75" x14ac:dyDescent="0.3">
      <c r="A28" s="11" t="s">
        <v>111</v>
      </c>
      <c r="B28" s="65"/>
      <c r="C28" s="67"/>
      <c r="D28" s="67"/>
      <c r="E28" s="67"/>
      <c r="F28" s="67"/>
      <c r="G28" s="67"/>
      <c r="H28" s="67"/>
      <c r="I28" s="67"/>
      <c r="J28" s="67"/>
    </row>
    <row r="29" spans="1:10" ht="18.75" x14ac:dyDescent="0.3">
      <c r="A29" s="11"/>
      <c r="B29" s="65"/>
      <c r="C29" s="67"/>
      <c r="D29" s="67"/>
      <c r="E29" s="67"/>
      <c r="F29" s="67"/>
      <c r="G29" s="67"/>
      <c r="H29" s="67"/>
      <c r="I29" s="67"/>
      <c r="J29" s="67"/>
    </row>
    <row r="30" spans="1:10" ht="18.75" x14ac:dyDescent="0.3">
      <c r="A30" s="11"/>
      <c r="B30" s="65"/>
      <c r="C30" s="67"/>
      <c r="D30" s="67"/>
      <c r="E30" s="67"/>
      <c r="F30" s="67"/>
      <c r="G30" s="67"/>
      <c r="H30" s="67"/>
      <c r="I30" s="67"/>
      <c r="J30" s="67"/>
    </row>
    <row r="31" spans="1:10" ht="18.75" x14ac:dyDescent="0.3">
      <c r="A31" s="11"/>
      <c r="B31" s="65"/>
      <c r="C31" s="67"/>
      <c r="D31" s="67"/>
      <c r="E31" s="67"/>
      <c r="F31" s="67"/>
      <c r="G31" s="67"/>
      <c r="H31" s="67"/>
      <c r="I31" s="67"/>
      <c r="J31" s="67"/>
    </row>
    <row r="32" spans="1:10" ht="18.75" x14ac:dyDescent="0.3">
      <c r="A32" s="11"/>
      <c r="B32" s="65"/>
      <c r="C32" s="67"/>
      <c r="D32" s="67"/>
      <c r="E32" s="67"/>
      <c r="F32" s="67"/>
      <c r="G32" s="67"/>
      <c r="H32" s="67"/>
      <c r="I32" s="67"/>
      <c r="J32" s="67"/>
    </row>
    <row r="33" spans="1:10" ht="18.75" x14ac:dyDescent="0.3">
      <c r="A33" s="11"/>
      <c r="B33" s="65"/>
      <c r="C33" s="67"/>
      <c r="D33" s="67"/>
      <c r="E33" s="67"/>
      <c r="F33" s="67"/>
      <c r="G33" s="67"/>
      <c r="H33" s="67"/>
      <c r="I33" s="67"/>
      <c r="J33" s="67"/>
    </row>
    <row r="34" spans="1:10" ht="18.75" x14ac:dyDescent="0.3">
      <c r="A34" s="10"/>
      <c r="B34" s="69"/>
      <c r="C34" s="67"/>
      <c r="D34" s="67"/>
      <c r="E34" s="67"/>
      <c r="F34" s="67"/>
      <c r="G34" s="67"/>
      <c r="H34" s="67"/>
      <c r="I34" s="67"/>
      <c r="J34" s="67"/>
    </row>
    <row r="35" spans="1:10" ht="18.75" x14ac:dyDescent="0.3">
      <c r="A35" s="10"/>
      <c r="B35" s="69"/>
      <c r="C35" s="67"/>
      <c r="D35" s="67"/>
      <c r="E35" s="67"/>
      <c r="F35" s="67"/>
      <c r="G35" s="67"/>
      <c r="H35" s="67"/>
      <c r="I35" s="67"/>
      <c r="J35" s="67"/>
    </row>
    <row r="36" spans="1:10" ht="18.75" x14ac:dyDescent="0.3">
      <c r="A36" s="9" t="s">
        <v>17</v>
      </c>
      <c r="B36" s="73">
        <f>SUM(B28:B33)</f>
        <v>0</v>
      </c>
      <c r="C36" s="67"/>
      <c r="D36" s="67"/>
      <c r="E36" s="67"/>
      <c r="F36" s="67"/>
      <c r="G36" s="67"/>
      <c r="H36" s="67"/>
      <c r="I36" s="67"/>
      <c r="J36" s="67"/>
    </row>
    <row r="37" spans="1:10" ht="18.75" x14ac:dyDescent="0.3">
      <c r="A37" s="10"/>
      <c r="B37" s="69"/>
      <c r="C37" s="67"/>
      <c r="D37" s="67"/>
      <c r="E37" s="67"/>
      <c r="F37" s="67"/>
      <c r="G37" s="67"/>
      <c r="H37" s="67"/>
      <c r="I37" s="67"/>
      <c r="J37" s="67"/>
    </row>
    <row r="38" spans="1:10" ht="18.75" x14ac:dyDescent="0.3">
      <c r="A38" s="10" t="s">
        <v>213</v>
      </c>
      <c r="B38" s="146">
        <f>SUM(' Commercial Revenue'!E24*1%)</f>
        <v>1015839.9755887148</v>
      </c>
      <c r="C38" s="77">
        <v>0.01</v>
      </c>
      <c r="D38" s="67"/>
      <c r="E38" s="67"/>
      <c r="F38" s="67"/>
      <c r="G38" s="67"/>
      <c r="H38" s="67"/>
      <c r="I38" s="67"/>
      <c r="J38" s="67"/>
    </row>
    <row r="39" spans="1:10" ht="18.75" x14ac:dyDescent="0.3">
      <c r="A39" s="10"/>
      <c r="B39" s="69"/>
      <c r="C39" s="78"/>
      <c r="D39" s="67"/>
      <c r="E39" s="67"/>
      <c r="F39" s="67"/>
      <c r="G39" s="67"/>
      <c r="H39" s="67"/>
      <c r="I39" s="67"/>
      <c r="J39" s="67"/>
    </row>
    <row r="40" spans="1:10" ht="18.75" x14ac:dyDescent="0.3">
      <c r="A40" s="10" t="s">
        <v>212</v>
      </c>
      <c r="B40" s="157">
        <f>SUM(' Commercial Revenue'!E22*'Commercial Costs'!C40)</f>
        <v>597213.20000000007</v>
      </c>
      <c r="C40" s="79">
        <v>0.1</v>
      </c>
      <c r="D40" s="67"/>
      <c r="F40" s="67"/>
      <c r="G40" s="67"/>
      <c r="H40" s="67"/>
      <c r="I40" s="67"/>
      <c r="J40" s="67"/>
    </row>
    <row r="41" spans="1:10" ht="18.75" x14ac:dyDescent="0.3">
      <c r="A41" s="10"/>
      <c r="B41" s="69"/>
      <c r="C41" s="78"/>
      <c r="D41" s="67"/>
      <c r="E41" s="67"/>
      <c r="F41" s="67"/>
      <c r="G41" s="67"/>
      <c r="H41" s="67"/>
      <c r="I41" s="67"/>
      <c r="J41" s="67"/>
    </row>
    <row r="42" spans="1:10" ht="18.75" x14ac:dyDescent="0.3">
      <c r="A42" s="11" t="s">
        <v>211</v>
      </c>
      <c r="B42" s="157">
        <f>SUM(' Commercial Revenue'!E22*'Commercial Costs'!C42)</f>
        <v>298606.60000000003</v>
      </c>
      <c r="C42" s="80">
        <v>0.05</v>
      </c>
      <c r="D42" s="67"/>
      <c r="F42" s="67"/>
      <c r="G42" s="67"/>
      <c r="H42" s="67"/>
      <c r="I42" s="67"/>
      <c r="J42" s="67"/>
    </row>
    <row r="43" spans="1:10" ht="18.75" x14ac:dyDescent="0.3">
      <c r="A43" s="10"/>
      <c r="B43" s="69"/>
      <c r="C43" s="78"/>
      <c r="D43" s="67"/>
      <c r="E43" s="67"/>
      <c r="F43" s="67"/>
      <c r="G43" s="67"/>
      <c r="H43" s="67"/>
      <c r="I43" s="67"/>
      <c r="J43" s="67"/>
    </row>
    <row r="44" spans="1:10" ht="18.75" x14ac:dyDescent="0.3">
      <c r="A44" s="9" t="s">
        <v>18</v>
      </c>
      <c r="B44" s="146">
        <f>SUM(B38:B43)</f>
        <v>1911659.775588715</v>
      </c>
      <c r="C44" s="78"/>
      <c r="D44" s="67"/>
      <c r="E44" s="67"/>
      <c r="F44" s="67"/>
      <c r="G44" s="67"/>
      <c r="H44" s="67"/>
      <c r="I44" s="67"/>
      <c r="J44" s="67"/>
    </row>
    <row r="45" spans="1:10" ht="18.75" x14ac:dyDescent="0.3">
      <c r="A45" s="10"/>
      <c r="B45" s="69"/>
      <c r="C45" s="78"/>
      <c r="D45" s="67"/>
      <c r="E45" s="67"/>
      <c r="F45" s="67"/>
      <c r="G45" s="67"/>
      <c r="H45" s="67"/>
      <c r="I45" s="67"/>
      <c r="J45" s="67"/>
    </row>
    <row r="46" spans="1:10" ht="18.75" x14ac:dyDescent="0.3">
      <c r="A46" s="13" t="s">
        <v>173</v>
      </c>
      <c r="B46" s="69"/>
      <c r="C46" s="78"/>
      <c r="D46" s="67"/>
      <c r="E46" s="67"/>
      <c r="F46" s="67"/>
      <c r="G46" s="67"/>
      <c r="H46" s="67"/>
      <c r="I46" s="67"/>
      <c r="J46" s="67"/>
    </row>
    <row r="47" spans="1:10" ht="18.75" x14ac:dyDescent="0.3">
      <c r="A47" s="10"/>
      <c r="B47" s="69"/>
      <c r="C47" s="78"/>
      <c r="D47" s="67"/>
      <c r="E47" s="67"/>
      <c r="F47" s="67"/>
      <c r="G47" s="67"/>
      <c r="H47" s="67"/>
      <c r="I47" s="67"/>
      <c r="J47" s="67"/>
    </row>
    <row r="48" spans="1:10" ht="18.75" x14ac:dyDescent="0.3">
      <c r="A48" s="10" t="s">
        <v>47</v>
      </c>
      <c r="B48" s="69">
        <f>SUM(B21*C48)*I54/2</f>
        <v>0</v>
      </c>
      <c r="C48" s="80">
        <v>7.0000000000000007E-2</v>
      </c>
      <c r="D48" s="67"/>
      <c r="E48" s="81" t="s">
        <v>117</v>
      </c>
      <c r="F48" s="67"/>
      <c r="G48" s="67"/>
      <c r="H48" s="67"/>
      <c r="I48" s="67"/>
      <c r="J48" s="67"/>
    </row>
    <row r="49" spans="1:10" ht="18.75" x14ac:dyDescent="0.3">
      <c r="A49" s="10" t="s">
        <v>48</v>
      </c>
      <c r="B49" s="69"/>
      <c r="C49" s="82"/>
      <c r="D49" s="67"/>
      <c r="E49" s="67"/>
      <c r="F49" s="67"/>
      <c r="G49" s="67"/>
      <c r="H49" s="67"/>
      <c r="I49" s="67"/>
      <c r="J49" s="67"/>
    </row>
    <row r="50" spans="1:10" ht="18.75" x14ac:dyDescent="0.3">
      <c r="A50" s="10"/>
      <c r="B50" s="69"/>
      <c r="C50" s="82"/>
      <c r="D50" s="67"/>
      <c r="E50" s="47" t="s">
        <v>114</v>
      </c>
      <c r="F50" s="47"/>
      <c r="G50" s="72"/>
      <c r="H50" s="67" t="s">
        <v>115</v>
      </c>
      <c r="I50" s="67"/>
      <c r="J50" s="67"/>
    </row>
    <row r="51" spans="1:10" ht="18.75" x14ac:dyDescent="0.3">
      <c r="A51" s="10" t="s">
        <v>49</v>
      </c>
      <c r="B51" s="69">
        <f>SUM(B70*C51)*I54/2</f>
        <v>0</v>
      </c>
      <c r="C51" s="80">
        <v>7.0000000000000007E-2</v>
      </c>
      <c r="D51" s="67"/>
      <c r="E51" s="47" t="s">
        <v>116</v>
      </c>
      <c r="F51" s="47"/>
      <c r="G51" s="72"/>
      <c r="H51" s="67" t="s">
        <v>115</v>
      </c>
      <c r="I51" s="67"/>
      <c r="J51" s="67"/>
    </row>
    <row r="52" spans="1:10" ht="18.75" x14ac:dyDescent="0.3">
      <c r="A52" s="10" t="s">
        <v>61</v>
      </c>
      <c r="B52" s="69"/>
      <c r="C52" s="82"/>
      <c r="D52" s="67"/>
      <c r="E52" s="47" t="s">
        <v>113</v>
      </c>
      <c r="F52" s="47"/>
      <c r="G52" s="83"/>
      <c r="H52" s="67" t="s">
        <v>115</v>
      </c>
      <c r="I52" s="67"/>
      <c r="J52" s="67"/>
    </row>
    <row r="53" spans="1:10" ht="18.75" x14ac:dyDescent="0.3">
      <c r="A53" s="10"/>
      <c r="B53" s="69"/>
      <c r="C53" s="82"/>
      <c r="D53" s="67"/>
      <c r="E53" s="47"/>
      <c r="F53" s="47"/>
      <c r="G53" s="72"/>
      <c r="H53" s="67"/>
      <c r="I53" s="67"/>
      <c r="J53" s="67"/>
    </row>
    <row r="54" spans="1:10" ht="18.75" x14ac:dyDescent="0.3">
      <c r="A54" s="11" t="s">
        <v>50</v>
      </c>
      <c r="B54" s="69">
        <f>SUM(B36*C54)*I54/3</f>
        <v>0</v>
      </c>
      <c r="C54" s="80">
        <v>7.0000000000000007E-2</v>
      </c>
      <c r="D54" s="67"/>
      <c r="E54" s="13" t="s">
        <v>25</v>
      </c>
      <c r="F54" s="47"/>
      <c r="G54" s="121">
        <f>SUM(G50:G53)</f>
        <v>0</v>
      </c>
      <c r="H54" s="125" t="s">
        <v>115</v>
      </c>
      <c r="I54" s="125">
        <f>SUM(G54/12)</f>
        <v>0</v>
      </c>
      <c r="J54" s="125" t="s">
        <v>33</v>
      </c>
    </row>
    <row r="55" spans="1:10" ht="18.75" x14ac:dyDescent="0.3">
      <c r="A55" s="10" t="s">
        <v>62</v>
      </c>
      <c r="B55" s="69"/>
      <c r="C55" s="78"/>
      <c r="D55" s="67"/>
      <c r="E55" s="67"/>
      <c r="F55" s="67"/>
      <c r="G55" s="67"/>
      <c r="H55" s="67"/>
      <c r="I55" s="67"/>
      <c r="J55" s="67"/>
    </row>
    <row r="56" spans="1:10" ht="18.75" x14ac:dyDescent="0.3">
      <c r="A56" s="10"/>
      <c r="B56" s="69"/>
      <c r="C56" s="78"/>
      <c r="D56" s="67"/>
      <c r="E56" s="67"/>
      <c r="F56" s="67"/>
      <c r="G56" s="67"/>
      <c r="H56" s="67"/>
      <c r="I56" s="67"/>
      <c r="J56" s="67"/>
    </row>
    <row r="57" spans="1:10" ht="18.75" x14ac:dyDescent="0.3">
      <c r="A57" s="9" t="s">
        <v>19</v>
      </c>
      <c r="B57" s="73">
        <f>SUM(B48:B55)</f>
        <v>0</v>
      </c>
      <c r="C57" s="78"/>
      <c r="D57" s="67"/>
      <c r="E57" s="67"/>
      <c r="F57" s="67"/>
      <c r="G57" s="67"/>
      <c r="H57" s="67"/>
      <c r="I57" s="67"/>
      <c r="J57" s="67"/>
    </row>
    <row r="58" spans="1:10" ht="18.75" x14ac:dyDescent="0.3">
      <c r="A58" s="9"/>
      <c r="B58" s="73"/>
      <c r="C58" s="78"/>
      <c r="D58" s="67"/>
      <c r="E58" s="67"/>
      <c r="F58" s="67"/>
      <c r="G58" s="67"/>
      <c r="H58" s="67"/>
      <c r="I58" s="67"/>
      <c r="J58" s="67"/>
    </row>
    <row r="59" spans="1:10" ht="18.75" x14ac:dyDescent="0.3">
      <c r="A59" s="9" t="s">
        <v>174</v>
      </c>
      <c r="B59" s="120">
        <f>SUM('Commercial DCF'!B42)</f>
        <v>0</v>
      </c>
      <c r="C59" s="78"/>
      <c r="D59" s="67"/>
      <c r="E59" s="67"/>
      <c r="F59" s="67"/>
      <c r="G59" s="67"/>
      <c r="H59" s="67"/>
      <c r="I59" s="67"/>
      <c r="J59" s="67"/>
    </row>
    <row r="60" spans="1:10" ht="18.75" x14ac:dyDescent="0.3">
      <c r="A60" s="10"/>
      <c r="B60" s="69"/>
      <c r="C60" s="78"/>
      <c r="D60" s="67"/>
      <c r="E60" s="67"/>
      <c r="F60" s="67"/>
      <c r="G60" s="67"/>
      <c r="H60" s="67"/>
      <c r="I60" s="67"/>
      <c r="J60" s="67"/>
    </row>
    <row r="61" spans="1:10" ht="18.75" x14ac:dyDescent="0.3">
      <c r="A61" s="10"/>
      <c r="B61" s="69"/>
      <c r="C61" s="78"/>
      <c r="D61" s="67"/>
      <c r="E61" s="67"/>
      <c r="F61" s="67"/>
      <c r="G61" s="67"/>
      <c r="H61" s="67"/>
      <c r="I61" s="67"/>
      <c r="J61" s="67"/>
    </row>
    <row r="62" spans="1:10" ht="23.25" x14ac:dyDescent="0.35">
      <c r="A62" s="30" t="s">
        <v>120</v>
      </c>
      <c r="B62" s="69"/>
      <c r="C62" s="84"/>
      <c r="D62" s="67"/>
      <c r="E62" s="67"/>
      <c r="F62" s="67"/>
      <c r="G62" s="67"/>
      <c r="H62" s="67"/>
      <c r="I62" s="67"/>
      <c r="J62" s="67"/>
    </row>
    <row r="63" spans="1:10" ht="18.75" x14ac:dyDescent="0.3">
      <c r="A63" s="10"/>
      <c r="B63" s="69"/>
      <c r="C63" s="78"/>
      <c r="D63" s="67"/>
      <c r="E63" s="67"/>
      <c r="F63" s="67"/>
      <c r="G63" s="67"/>
      <c r="H63" s="67"/>
      <c r="I63" s="67"/>
      <c r="J63" s="67"/>
    </row>
    <row r="64" spans="1:10" ht="18.75" x14ac:dyDescent="0.3">
      <c r="A64" s="9" t="s">
        <v>130</v>
      </c>
      <c r="B64" s="69">
        <f>SUM(' Commercial Revenue'!E24*'Commercial Costs'!C64)</f>
        <v>15237599.633830721</v>
      </c>
      <c r="C64" s="77">
        <v>0.15</v>
      </c>
      <c r="D64" s="67"/>
      <c r="E64" s="67"/>
      <c r="F64" s="67"/>
      <c r="G64" s="67"/>
      <c r="H64" s="67"/>
      <c r="I64" s="67"/>
      <c r="J64" s="67"/>
    </row>
    <row r="65" spans="1:10" ht="18.75" x14ac:dyDescent="0.3">
      <c r="A65" s="10"/>
      <c r="B65" s="69"/>
      <c r="C65" s="78"/>
      <c r="D65" s="67"/>
      <c r="E65" s="67"/>
      <c r="F65" s="67"/>
      <c r="G65" s="67"/>
      <c r="H65" s="67"/>
      <c r="I65" s="67"/>
      <c r="J65" s="67"/>
    </row>
    <row r="66" spans="1:10" ht="18.75" x14ac:dyDescent="0.3">
      <c r="A66" s="9" t="s">
        <v>20</v>
      </c>
      <c r="B66" s="73">
        <f>SUM(B62:B65)</f>
        <v>15237599.633830721</v>
      </c>
      <c r="C66" s="67"/>
      <c r="D66" s="67"/>
      <c r="E66" s="67"/>
      <c r="F66" s="67"/>
      <c r="G66" s="67"/>
      <c r="H66" s="67"/>
      <c r="I66" s="67"/>
      <c r="J66" s="67"/>
    </row>
    <row r="67" spans="1:10" ht="18.75" x14ac:dyDescent="0.3">
      <c r="A67" s="10"/>
      <c r="B67" s="69"/>
      <c r="C67" s="67"/>
      <c r="D67" s="67"/>
      <c r="E67" s="67"/>
      <c r="F67" s="67"/>
      <c r="G67" s="67"/>
      <c r="H67" s="67"/>
      <c r="I67" s="67"/>
      <c r="J67" s="67"/>
    </row>
    <row r="68" spans="1:10" ht="18.75" x14ac:dyDescent="0.3">
      <c r="A68" s="9" t="s">
        <v>21</v>
      </c>
      <c r="B68" s="73">
        <f>SUM(B26+B36+B44+B57+B66-B59)</f>
        <v>17149259.409419436</v>
      </c>
      <c r="C68" s="67"/>
      <c r="D68" s="67"/>
      <c r="E68" s="67"/>
      <c r="F68" s="67"/>
      <c r="G68" s="67"/>
      <c r="H68" s="67"/>
      <c r="I68" s="67"/>
      <c r="J68" s="67"/>
    </row>
    <row r="69" spans="1:10" ht="18.75" x14ac:dyDescent="0.3">
      <c r="A69" s="10"/>
      <c r="B69" s="69"/>
      <c r="C69" s="67"/>
      <c r="D69" s="67"/>
      <c r="E69" s="67"/>
      <c r="F69" s="67"/>
      <c r="G69" s="67"/>
      <c r="H69" s="67"/>
      <c r="I69" s="67"/>
      <c r="J69" s="67"/>
    </row>
    <row r="70" spans="1:10" ht="18.75" x14ac:dyDescent="0.3">
      <c r="A70" s="11" t="s">
        <v>14</v>
      </c>
      <c r="B70" s="65"/>
      <c r="C70" s="67"/>
      <c r="D70" s="67"/>
      <c r="E70" s="67"/>
      <c r="F70" s="67"/>
      <c r="G70" s="67"/>
      <c r="H70" s="67"/>
      <c r="I70" s="67"/>
      <c r="J70" s="67"/>
    </row>
    <row r="71" spans="1:10" ht="18.75" x14ac:dyDescent="0.3">
      <c r="A71" s="10"/>
      <c r="B71" s="69"/>
      <c r="C71" s="67"/>
      <c r="D71" s="67"/>
      <c r="E71" s="67"/>
      <c r="F71" s="67"/>
      <c r="G71" s="67"/>
      <c r="H71" s="67"/>
      <c r="I71" s="67"/>
      <c r="J71" s="67"/>
    </row>
    <row r="72" spans="1:10" ht="18.75" x14ac:dyDescent="0.3">
      <c r="A72" s="9" t="s">
        <v>22</v>
      </c>
      <c r="B72" s="69">
        <f>SUM(B68+B70)</f>
        <v>17149259.409419436</v>
      </c>
      <c r="C72" s="67"/>
      <c r="D72" s="67"/>
      <c r="E72" s="67"/>
      <c r="F72" s="67"/>
      <c r="G72" s="67"/>
      <c r="H72" s="67"/>
      <c r="I72" s="67"/>
      <c r="J72" s="67"/>
    </row>
    <row r="73" spans="1:10" ht="18.75" x14ac:dyDescent="0.3">
      <c r="A73" s="10"/>
      <c r="B73" s="67"/>
      <c r="C73" s="67"/>
      <c r="D73" s="67"/>
      <c r="E73" s="67"/>
      <c r="F73" s="67"/>
      <c r="G73" s="67"/>
      <c r="H73" s="67"/>
      <c r="I73" s="67"/>
      <c r="J73" s="67"/>
    </row>
    <row r="74" spans="1:10" ht="18.75" x14ac:dyDescent="0.3">
      <c r="A74" s="50"/>
      <c r="B74" s="86"/>
      <c r="C74" s="67"/>
      <c r="D74" s="67"/>
      <c r="E74" s="67"/>
      <c r="F74" s="67"/>
      <c r="G74" s="67"/>
      <c r="H74" s="67"/>
      <c r="I74" s="67"/>
      <c r="J74" s="67"/>
    </row>
    <row r="75" spans="1:10" x14ac:dyDescent="0.25">
      <c r="A75" s="20"/>
      <c r="B75" s="20"/>
    </row>
    <row r="76" spans="1:10" ht="18.75" x14ac:dyDescent="0.3">
      <c r="A76" s="50"/>
      <c r="B76" s="53"/>
    </row>
  </sheetData>
  <sheetProtection algorithmName="SHA-512" hashValue="7pjtfuQ7/x3e346BG+ddtMTki7HBmMXBdFkSt4+tq79/o/VFeOc3FTUsT2Ms2RDbqZZ5txdikLUHcFOw/4GMoA==" saltValue="YE3UKv/Kftgxt3DLn/GikQ==" spinCount="100000" sheet="1" objects="1" scenarios="1"/>
  <pageMargins left="0.7" right="0.7" top="0.75" bottom="0.75" header="0.3" footer="0.3"/>
  <pageSetup paperSize="8" scale="53" fitToHeight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E2398-C4D3-4E1D-A164-2FB36CD8788D}">
  <dimension ref="A3:F21"/>
  <sheetViews>
    <sheetView workbookViewId="0">
      <selection activeCell="B5" sqref="B5"/>
    </sheetView>
  </sheetViews>
  <sheetFormatPr defaultRowHeight="15" x14ac:dyDescent="0.25"/>
  <cols>
    <col min="1" max="1" width="38.140625" customWidth="1"/>
    <col min="2" max="2" width="17.28515625" customWidth="1"/>
    <col min="3" max="3" width="10.140625" customWidth="1"/>
    <col min="4" max="4" width="10.140625" bestFit="1" customWidth="1"/>
    <col min="5" max="5" width="16.7109375" customWidth="1"/>
    <col min="7" max="7" width="12.7109375" bestFit="1" customWidth="1"/>
  </cols>
  <sheetData>
    <row r="3" spans="1:6" ht="18.75" x14ac:dyDescent="0.3">
      <c r="A3" s="61" t="s">
        <v>131</v>
      </c>
      <c r="B3" s="116">
        <v>22150000</v>
      </c>
      <c r="C3" s="141">
        <v>39356</v>
      </c>
      <c r="D3" s="67"/>
      <c r="E3" s="61" t="s">
        <v>137</v>
      </c>
      <c r="F3" s="67"/>
    </row>
    <row r="4" spans="1:6" ht="18.75" x14ac:dyDescent="0.3">
      <c r="A4" s="61"/>
      <c r="B4" s="67"/>
      <c r="C4" s="67"/>
      <c r="D4" s="67"/>
      <c r="E4" s="67"/>
      <c r="F4" s="67"/>
    </row>
    <row r="5" spans="1:6" ht="18.75" x14ac:dyDescent="0.3">
      <c r="A5" s="61" t="s">
        <v>132</v>
      </c>
      <c r="B5" s="67">
        <f>SUM('Residential Revenue'!B112)</f>
        <v>52945</v>
      </c>
      <c r="C5" s="67" t="s">
        <v>134</v>
      </c>
      <c r="D5" s="67"/>
      <c r="E5" s="45">
        <f>SUM(B5*B13)</f>
        <v>15796281.704179632</v>
      </c>
      <c r="F5" s="67"/>
    </row>
    <row r="6" spans="1:6" ht="18.75" x14ac:dyDescent="0.3">
      <c r="A6" s="61"/>
      <c r="B6" s="67"/>
      <c r="C6" s="67"/>
      <c r="D6" s="67"/>
      <c r="E6" s="67"/>
      <c r="F6" s="67"/>
    </row>
    <row r="7" spans="1:6" ht="18.75" x14ac:dyDescent="0.3">
      <c r="A7" s="61" t="s">
        <v>133</v>
      </c>
      <c r="B7" s="67">
        <f>SUM(' Commercial Revenue'!B22)</f>
        <v>21296</v>
      </c>
      <c r="C7" s="67" t="s">
        <v>134</v>
      </c>
      <c r="D7" s="67"/>
      <c r="E7" s="45">
        <f>SUM(B7*B13)</f>
        <v>6353718.2958203685</v>
      </c>
      <c r="F7" s="67"/>
    </row>
    <row r="8" spans="1:6" ht="18.75" x14ac:dyDescent="0.3">
      <c r="A8" s="61"/>
      <c r="B8" s="67"/>
      <c r="C8" s="67"/>
      <c r="D8" s="67"/>
      <c r="E8" s="67"/>
      <c r="F8" s="67"/>
    </row>
    <row r="9" spans="1:6" ht="18.75" x14ac:dyDescent="0.3">
      <c r="A9" s="61" t="s">
        <v>136</v>
      </c>
      <c r="B9" s="67">
        <f>SUM(B5:B7)</f>
        <v>74241</v>
      </c>
      <c r="C9" s="67" t="s">
        <v>134</v>
      </c>
      <c r="D9" s="67"/>
      <c r="E9" s="67"/>
      <c r="F9" s="67"/>
    </row>
    <row r="10" spans="1:6" ht="18.75" x14ac:dyDescent="0.3">
      <c r="A10" s="61"/>
      <c r="B10" s="67"/>
      <c r="C10" s="67"/>
      <c r="D10" s="67"/>
      <c r="E10" s="67"/>
      <c r="F10" s="67"/>
    </row>
    <row r="11" spans="1:6" ht="18.75" x14ac:dyDescent="0.3">
      <c r="A11" s="61"/>
      <c r="B11" s="67"/>
      <c r="C11" s="67"/>
      <c r="D11" s="67"/>
      <c r="E11" s="67"/>
      <c r="F11" s="67"/>
    </row>
    <row r="12" spans="1:6" ht="18.75" x14ac:dyDescent="0.3">
      <c r="A12" s="61"/>
      <c r="B12" s="67"/>
      <c r="C12" s="67"/>
      <c r="D12" s="67"/>
      <c r="E12" s="67"/>
      <c r="F12" s="67"/>
    </row>
    <row r="13" spans="1:6" ht="18.75" x14ac:dyDescent="0.3">
      <c r="A13" s="61" t="s">
        <v>135</v>
      </c>
      <c r="B13" s="71">
        <f>SUM(B3/B9)</f>
        <v>298.35266227556201</v>
      </c>
      <c r="C13" s="67"/>
      <c r="D13" s="67"/>
      <c r="E13" s="67"/>
      <c r="F13" s="67"/>
    </row>
    <row r="14" spans="1:6" ht="18.75" x14ac:dyDescent="0.3">
      <c r="A14" s="67"/>
      <c r="B14" s="67"/>
      <c r="C14" s="67"/>
      <c r="D14" s="67"/>
      <c r="E14" s="67"/>
      <c r="F14" s="67"/>
    </row>
    <row r="15" spans="1:6" ht="18.75" x14ac:dyDescent="0.3">
      <c r="A15" s="67"/>
      <c r="B15" s="67"/>
      <c r="C15" s="67"/>
      <c r="D15" s="67"/>
      <c r="E15" s="67"/>
      <c r="F15" s="67"/>
    </row>
    <row r="16" spans="1:6" ht="18.75" x14ac:dyDescent="0.3">
      <c r="A16" s="9" t="s">
        <v>84</v>
      </c>
      <c r="B16" s="88">
        <f>SUM(B18*115%)</f>
        <v>31049999.999999996</v>
      </c>
      <c r="C16" s="67"/>
      <c r="D16" s="67"/>
      <c r="E16" s="67"/>
      <c r="F16" s="67"/>
    </row>
    <row r="17" spans="1:6" ht="18.75" x14ac:dyDescent="0.3">
      <c r="A17" s="47"/>
      <c r="B17" s="68"/>
      <c r="C17" s="67"/>
      <c r="D17" s="67"/>
      <c r="E17" s="67"/>
      <c r="F17" s="67"/>
    </row>
    <row r="18" spans="1:6" ht="18.75" x14ac:dyDescent="0.3">
      <c r="A18" s="9" t="s">
        <v>51</v>
      </c>
      <c r="B18" s="89">
        <v>27000000</v>
      </c>
      <c r="C18" s="67"/>
      <c r="D18" s="67"/>
      <c r="E18" s="67"/>
      <c r="F18" s="67"/>
    </row>
    <row r="19" spans="1:6" ht="18.75" x14ac:dyDescent="0.3">
      <c r="A19" s="67"/>
      <c r="B19" s="67"/>
      <c r="C19" s="67"/>
      <c r="D19" s="67"/>
      <c r="E19" s="67"/>
      <c r="F19" s="67"/>
    </row>
    <row r="20" spans="1:6" ht="18.75" x14ac:dyDescent="0.3">
      <c r="A20" s="67"/>
      <c r="B20" s="67"/>
      <c r="C20" s="67"/>
      <c r="D20" s="67"/>
      <c r="E20" s="67"/>
      <c r="F20" s="67"/>
    </row>
    <row r="21" spans="1:6" ht="18.75" x14ac:dyDescent="0.3">
      <c r="A21" s="67"/>
      <c r="B21" s="67"/>
      <c r="C21" s="67"/>
      <c r="D21" s="67"/>
      <c r="E21" s="67"/>
      <c r="F21" s="67"/>
    </row>
  </sheetData>
  <sheetProtection algorithmName="SHA-512" hashValue="yFLOpLUBXFCQCEph+n3esW97ySJvqKMpmvDzZ7I+0GAEy7InEejusjzH+k+N+FYo8BMr4zsFWILjTvfbA00g0g==" saltValue="yu0877jhiXmY8FDUQ/MruA==" spinCount="100000" sheet="1" objects="1" scenarios="1"/>
  <pageMargins left="0.7" right="0.7" top="0.75" bottom="0.75" header="0.3" footer="0.3"/>
  <pageSetup paperSize="8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4924-E2D1-42E8-946B-93F543E2A162}">
  <dimension ref="A1:AZ47"/>
  <sheetViews>
    <sheetView workbookViewId="0">
      <pane xSplit="1" topLeftCell="B1" activePane="topRight" state="frozen"/>
      <selection pane="topRight" activeCell="A15" sqref="A15"/>
    </sheetView>
  </sheetViews>
  <sheetFormatPr defaultRowHeight="15" x14ac:dyDescent="0.25"/>
  <cols>
    <col min="1" max="1" width="21" customWidth="1"/>
    <col min="2" max="2" width="11.28515625" bestFit="1" customWidth="1"/>
    <col min="3" max="14" width="10.85546875" bestFit="1" customWidth="1"/>
    <col min="15" max="15" width="13" customWidth="1"/>
    <col min="16" max="17" width="10.85546875" bestFit="1" customWidth="1"/>
    <col min="18" max="49" width="11.85546875" bestFit="1" customWidth="1"/>
    <col min="50" max="50" width="12.85546875" bestFit="1" customWidth="1"/>
  </cols>
  <sheetData>
    <row r="1" spans="1:51" ht="18.75" x14ac:dyDescent="0.3">
      <c r="A1" s="81" t="s">
        <v>140</v>
      </c>
    </row>
    <row r="3" spans="1:51" x14ac:dyDescent="0.25">
      <c r="AX3" t="s">
        <v>91</v>
      </c>
    </row>
    <row r="5" spans="1:51" ht="15.75" x14ac:dyDescent="0.25">
      <c r="A5" s="90" t="s">
        <v>141</v>
      </c>
      <c r="B5" s="90">
        <v>1</v>
      </c>
      <c r="C5" s="90">
        <v>2</v>
      </c>
      <c r="D5" s="90">
        <v>3</v>
      </c>
      <c r="E5" s="90">
        <v>4</v>
      </c>
      <c r="F5" s="90">
        <v>5</v>
      </c>
      <c r="G5" s="90">
        <v>6</v>
      </c>
      <c r="H5" s="90">
        <v>7</v>
      </c>
      <c r="I5" s="90">
        <v>8</v>
      </c>
      <c r="J5" s="90">
        <v>9</v>
      </c>
      <c r="K5" s="90">
        <v>10</v>
      </c>
      <c r="L5" s="90">
        <v>11</v>
      </c>
      <c r="M5" s="90">
        <v>12</v>
      </c>
      <c r="N5" s="90">
        <v>13</v>
      </c>
      <c r="O5" s="90">
        <v>14</v>
      </c>
      <c r="P5" s="90">
        <v>15</v>
      </c>
      <c r="Q5" s="90">
        <v>16</v>
      </c>
      <c r="R5" s="90">
        <v>17</v>
      </c>
      <c r="S5" s="90">
        <v>18</v>
      </c>
      <c r="T5" s="90">
        <v>19</v>
      </c>
      <c r="U5" s="90">
        <v>20</v>
      </c>
      <c r="V5" s="90">
        <v>21</v>
      </c>
      <c r="W5" s="90">
        <v>22</v>
      </c>
      <c r="X5" s="90">
        <v>23</v>
      </c>
      <c r="Y5" s="90">
        <v>24</v>
      </c>
      <c r="Z5" s="90">
        <v>25</v>
      </c>
      <c r="AA5" s="90">
        <v>26</v>
      </c>
      <c r="AB5" s="90">
        <v>27</v>
      </c>
      <c r="AC5" s="90">
        <v>28</v>
      </c>
      <c r="AD5" s="90">
        <v>29</v>
      </c>
      <c r="AE5" s="90">
        <v>30</v>
      </c>
      <c r="AF5" s="90">
        <v>31</v>
      </c>
      <c r="AG5" s="90">
        <v>32</v>
      </c>
      <c r="AH5" s="90">
        <v>33</v>
      </c>
      <c r="AI5" s="90">
        <v>34</v>
      </c>
      <c r="AJ5" s="90">
        <v>35</v>
      </c>
      <c r="AK5" s="90">
        <v>36</v>
      </c>
      <c r="AL5" s="90">
        <v>37</v>
      </c>
      <c r="AM5" s="90">
        <v>38</v>
      </c>
      <c r="AN5" s="90">
        <v>39</v>
      </c>
      <c r="AO5" s="90">
        <v>40</v>
      </c>
      <c r="AP5" s="90">
        <v>41</v>
      </c>
      <c r="AQ5" s="90">
        <v>42</v>
      </c>
      <c r="AR5" s="90">
        <v>43</v>
      </c>
      <c r="AS5" s="90">
        <v>44</v>
      </c>
      <c r="AT5" s="90">
        <v>45</v>
      </c>
      <c r="AU5" s="90">
        <v>46</v>
      </c>
      <c r="AV5" s="90">
        <v>47</v>
      </c>
      <c r="AW5" s="90">
        <v>48</v>
      </c>
      <c r="AX5" s="90"/>
      <c r="AY5" s="90" t="s">
        <v>141</v>
      </c>
    </row>
    <row r="7" spans="1:51" ht="15.75" x14ac:dyDescent="0.25">
      <c r="A7" s="90" t="s">
        <v>142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00">
        <f>SUM(B7:AW7)</f>
        <v>0</v>
      </c>
      <c r="AY7" s="91" t="s">
        <v>142</v>
      </c>
    </row>
    <row r="8" spans="1:51" ht="15.75" x14ac:dyDescent="0.25">
      <c r="A8" s="90" t="s">
        <v>143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00">
        <f t="shared" ref="AX8:AX22" si="0">SUM(B8:AW8)</f>
        <v>0</v>
      </c>
      <c r="AY8" s="91" t="s">
        <v>143</v>
      </c>
    </row>
    <row r="9" spans="1:51" ht="15.75" x14ac:dyDescent="0.25">
      <c r="A9" s="90" t="s">
        <v>144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00">
        <f t="shared" si="0"/>
        <v>0</v>
      </c>
      <c r="AY9" s="91" t="s">
        <v>144</v>
      </c>
    </row>
    <row r="10" spans="1:51" ht="15.75" x14ac:dyDescent="0.25">
      <c r="A10" s="90" t="s">
        <v>145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00">
        <f t="shared" si="0"/>
        <v>0</v>
      </c>
      <c r="AY10" s="91" t="s">
        <v>145</v>
      </c>
    </row>
    <row r="11" spans="1:51" ht="15.75" x14ac:dyDescent="0.25">
      <c r="A11" s="90" t="s">
        <v>146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00">
        <f t="shared" si="0"/>
        <v>0</v>
      </c>
      <c r="AY11" s="91" t="s">
        <v>146</v>
      </c>
    </row>
    <row r="12" spans="1:51" ht="15.75" x14ac:dyDescent="0.25">
      <c r="A12" s="9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1:51" ht="15.75" x14ac:dyDescent="0.25">
      <c r="A13" s="90" t="s">
        <v>31</v>
      </c>
      <c r="B13" s="14">
        <f>SUM(B7:B11)</f>
        <v>0</v>
      </c>
      <c r="C13" s="14">
        <f t="shared" ref="C13:AW13" si="1">SUM(C7:C11)</f>
        <v>0</v>
      </c>
      <c r="D13" s="14">
        <f t="shared" si="1"/>
        <v>0</v>
      </c>
      <c r="E13" s="14">
        <f t="shared" si="1"/>
        <v>0</v>
      </c>
      <c r="F13" s="14">
        <f t="shared" si="1"/>
        <v>0</v>
      </c>
      <c r="G13" s="14">
        <f t="shared" si="1"/>
        <v>0</v>
      </c>
      <c r="H13" s="14">
        <f t="shared" si="1"/>
        <v>0</v>
      </c>
      <c r="I13" s="14">
        <f t="shared" si="1"/>
        <v>0</v>
      </c>
      <c r="J13" s="14">
        <f t="shared" si="1"/>
        <v>0</v>
      </c>
      <c r="K13" s="14">
        <f t="shared" si="1"/>
        <v>0</v>
      </c>
      <c r="L13" s="14">
        <f t="shared" si="1"/>
        <v>0</v>
      </c>
      <c r="M13" s="14">
        <f t="shared" si="1"/>
        <v>0</v>
      </c>
      <c r="N13" s="14">
        <f t="shared" si="1"/>
        <v>0</v>
      </c>
      <c r="O13" s="14">
        <f t="shared" si="1"/>
        <v>0</v>
      </c>
      <c r="P13" s="14">
        <f t="shared" si="1"/>
        <v>0</v>
      </c>
      <c r="Q13" s="14">
        <f t="shared" si="1"/>
        <v>0</v>
      </c>
      <c r="R13" s="14">
        <f t="shared" si="1"/>
        <v>0</v>
      </c>
      <c r="S13" s="14">
        <f t="shared" si="1"/>
        <v>0</v>
      </c>
      <c r="T13" s="14">
        <f t="shared" si="1"/>
        <v>0</v>
      </c>
      <c r="U13" s="14">
        <f t="shared" si="1"/>
        <v>0</v>
      </c>
      <c r="V13" s="14">
        <f t="shared" si="1"/>
        <v>0</v>
      </c>
      <c r="W13" s="14">
        <f t="shared" si="1"/>
        <v>0</v>
      </c>
      <c r="X13" s="14">
        <f t="shared" si="1"/>
        <v>0</v>
      </c>
      <c r="Y13" s="14">
        <f t="shared" si="1"/>
        <v>0</v>
      </c>
      <c r="Z13" s="14">
        <f t="shared" si="1"/>
        <v>0</v>
      </c>
      <c r="AA13" s="14">
        <f t="shared" si="1"/>
        <v>0</v>
      </c>
      <c r="AB13" s="14">
        <f t="shared" si="1"/>
        <v>0</v>
      </c>
      <c r="AC13" s="14">
        <f t="shared" si="1"/>
        <v>0</v>
      </c>
      <c r="AD13" s="14">
        <f t="shared" si="1"/>
        <v>0</v>
      </c>
      <c r="AE13" s="14">
        <f t="shared" si="1"/>
        <v>0</v>
      </c>
      <c r="AF13" s="14">
        <f t="shared" si="1"/>
        <v>0</v>
      </c>
      <c r="AG13" s="14">
        <f t="shared" si="1"/>
        <v>0</v>
      </c>
      <c r="AH13" s="14">
        <f t="shared" si="1"/>
        <v>0</v>
      </c>
      <c r="AI13" s="14">
        <f t="shared" si="1"/>
        <v>0</v>
      </c>
      <c r="AJ13" s="14">
        <f t="shared" si="1"/>
        <v>0</v>
      </c>
      <c r="AK13" s="14">
        <f t="shared" si="1"/>
        <v>0</v>
      </c>
      <c r="AL13" s="14">
        <f t="shared" si="1"/>
        <v>0</v>
      </c>
      <c r="AM13" s="14">
        <f t="shared" si="1"/>
        <v>0</v>
      </c>
      <c r="AN13" s="14">
        <f t="shared" si="1"/>
        <v>0</v>
      </c>
      <c r="AO13" s="14">
        <f t="shared" si="1"/>
        <v>0</v>
      </c>
      <c r="AP13" s="14">
        <f t="shared" si="1"/>
        <v>0</v>
      </c>
      <c r="AQ13" s="14">
        <f t="shared" si="1"/>
        <v>0</v>
      </c>
      <c r="AR13" s="14">
        <f t="shared" si="1"/>
        <v>0</v>
      </c>
      <c r="AS13" s="14">
        <f t="shared" si="1"/>
        <v>0</v>
      </c>
      <c r="AT13" s="14">
        <f t="shared" si="1"/>
        <v>0</v>
      </c>
      <c r="AU13" s="14">
        <f t="shared" si="1"/>
        <v>0</v>
      </c>
      <c r="AV13" s="14">
        <f t="shared" si="1"/>
        <v>0</v>
      </c>
      <c r="AW13" s="14">
        <f t="shared" si="1"/>
        <v>0</v>
      </c>
      <c r="AX13" s="14">
        <f t="shared" si="0"/>
        <v>0</v>
      </c>
      <c r="AY13" t="s">
        <v>31</v>
      </c>
    </row>
    <row r="14" spans="1:51" ht="15.75" x14ac:dyDescent="0.25">
      <c r="A14" s="9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</row>
    <row r="15" spans="1:51" ht="15.75" x14ac:dyDescent="0.25">
      <c r="A15" s="90" t="s">
        <v>158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4">
        <f t="shared" si="0"/>
        <v>0</v>
      </c>
      <c r="AY15" t="s">
        <v>171</v>
      </c>
    </row>
    <row r="16" spans="1:51" ht="15.75" x14ac:dyDescent="0.25">
      <c r="A16" s="90" t="s">
        <v>160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4">
        <f>SUM(B16:AW16)</f>
        <v>0</v>
      </c>
      <c r="AY16" t="s">
        <v>172</v>
      </c>
    </row>
    <row r="17" spans="1:52" ht="15.75" x14ac:dyDescent="0.25">
      <c r="A17" s="90" t="s">
        <v>161</v>
      </c>
      <c r="B17" s="100">
        <f>SUM(B15:B16)</f>
        <v>0</v>
      </c>
      <c r="C17" s="100">
        <f t="shared" ref="C17:AW17" si="2">SUM(C15:C16)</f>
        <v>0</v>
      </c>
      <c r="D17" s="100">
        <f t="shared" si="2"/>
        <v>0</v>
      </c>
      <c r="E17" s="100">
        <f t="shared" si="2"/>
        <v>0</v>
      </c>
      <c r="F17" s="100">
        <f t="shared" si="2"/>
        <v>0</v>
      </c>
      <c r="G17" s="100">
        <f t="shared" si="2"/>
        <v>0</v>
      </c>
      <c r="H17" s="100">
        <f t="shared" si="2"/>
        <v>0</v>
      </c>
      <c r="I17" s="100">
        <f t="shared" si="2"/>
        <v>0</v>
      </c>
      <c r="J17" s="100">
        <f t="shared" si="2"/>
        <v>0</v>
      </c>
      <c r="K17" s="100">
        <f t="shared" si="2"/>
        <v>0</v>
      </c>
      <c r="L17" s="100">
        <f t="shared" si="2"/>
        <v>0</v>
      </c>
      <c r="M17" s="100">
        <f t="shared" si="2"/>
        <v>0</v>
      </c>
      <c r="N17" s="100">
        <f t="shared" si="2"/>
        <v>0</v>
      </c>
      <c r="O17" s="100">
        <f t="shared" si="2"/>
        <v>0</v>
      </c>
      <c r="P17" s="100">
        <f t="shared" si="2"/>
        <v>0</v>
      </c>
      <c r="Q17" s="100">
        <f t="shared" si="2"/>
        <v>0</v>
      </c>
      <c r="R17" s="100">
        <f t="shared" si="2"/>
        <v>0</v>
      </c>
      <c r="S17" s="100">
        <f t="shared" si="2"/>
        <v>0</v>
      </c>
      <c r="T17" s="100">
        <f t="shared" si="2"/>
        <v>0</v>
      </c>
      <c r="U17" s="100">
        <f t="shared" si="2"/>
        <v>0</v>
      </c>
      <c r="V17" s="100">
        <f t="shared" si="2"/>
        <v>0</v>
      </c>
      <c r="W17" s="100">
        <f t="shared" si="2"/>
        <v>0</v>
      </c>
      <c r="X17" s="100">
        <f t="shared" si="2"/>
        <v>0</v>
      </c>
      <c r="Y17" s="100">
        <f t="shared" si="2"/>
        <v>0</v>
      </c>
      <c r="Z17" s="100">
        <f t="shared" si="2"/>
        <v>0</v>
      </c>
      <c r="AA17" s="100">
        <f t="shared" si="2"/>
        <v>0</v>
      </c>
      <c r="AB17" s="100">
        <f t="shared" si="2"/>
        <v>0</v>
      </c>
      <c r="AC17" s="100">
        <f t="shared" si="2"/>
        <v>0</v>
      </c>
      <c r="AD17" s="100">
        <f t="shared" si="2"/>
        <v>0</v>
      </c>
      <c r="AE17" s="100">
        <f t="shared" si="2"/>
        <v>0</v>
      </c>
      <c r="AF17" s="100">
        <f t="shared" si="2"/>
        <v>0</v>
      </c>
      <c r="AG17" s="100">
        <f t="shared" si="2"/>
        <v>0</v>
      </c>
      <c r="AH17" s="100">
        <f t="shared" si="2"/>
        <v>0</v>
      </c>
      <c r="AI17" s="100">
        <f t="shared" si="2"/>
        <v>0</v>
      </c>
      <c r="AJ17" s="100">
        <f t="shared" si="2"/>
        <v>0</v>
      </c>
      <c r="AK17" s="100">
        <f t="shared" si="2"/>
        <v>0</v>
      </c>
      <c r="AL17" s="100">
        <f t="shared" si="2"/>
        <v>0</v>
      </c>
      <c r="AM17" s="100">
        <f t="shared" si="2"/>
        <v>0</v>
      </c>
      <c r="AN17" s="100">
        <f t="shared" si="2"/>
        <v>0</v>
      </c>
      <c r="AO17" s="100">
        <f t="shared" si="2"/>
        <v>0</v>
      </c>
      <c r="AP17" s="100">
        <f t="shared" si="2"/>
        <v>0</v>
      </c>
      <c r="AQ17" s="100">
        <f t="shared" si="2"/>
        <v>0</v>
      </c>
      <c r="AR17" s="100">
        <f t="shared" si="2"/>
        <v>0</v>
      </c>
      <c r="AS17" s="100">
        <f t="shared" si="2"/>
        <v>0</v>
      </c>
      <c r="AT17" s="100">
        <f t="shared" si="2"/>
        <v>0</v>
      </c>
      <c r="AU17" s="100">
        <f t="shared" si="2"/>
        <v>0</v>
      </c>
      <c r="AV17" s="100">
        <f t="shared" si="2"/>
        <v>0</v>
      </c>
      <c r="AW17" s="100">
        <f t="shared" si="2"/>
        <v>0</v>
      </c>
      <c r="AX17" s="100">
        <f t="shared" si="0"/>
        <v>0</v>
      </c>
      <c r="AY17" s="91" t="s">
        <v>0</v>
      </c>
      <c r="AZ17" s="91"/>
    </row>
    <row r="18" spans="1:52" ht="15.75" x14ac:dyDescent="0.25">
      <c r="A18" s="90" t="s">
        <v>147</v>
      </c>
      <c r="B18" s="100">
        <f>SUM(B17-B13)</f>
        <v>0</v>
      </c>
      <c r="C18" s="100">
        <f t="shared" ref="C18:AW18" si="3">SUM(C17-C13)</f>
        <v>0</v>
      </c>
      <c r="D18" s="100">
        <f t="shared" si="3"/>
        <v>0</v>
      </c>
      <c r="E18" s="100">
        <f t="shared" si="3"/>
        <v>0</v>
      </c>
      <c r="F18" s="100">
        <f t="shared" si="3"/>
        <v>0</v>
      </c>
      <c r="G18" s="100">
        <f t="shared" si="3"/>
        <v>0</v>
      </c>
      <c r="H18" s="100">
        <f t="shared" si="3"/>
        <v>0</v>
      </c>
      <c r="I18" s="100">
        <f t="shared" si="3"/>
        <v>0</v>
      </c>
      <c r="J18" s="100">
        <f t="shared" si="3"/>
        <v>0</v>
      </c>
      <c r="K18" s="100">
        <f t="shared" si="3"/>
        <v>0</v>
      </c>
      <c r="L18" s="100">
        <f t="shared" si="3"/>
        <v>0</v>
      </c>
      <c r="M18" s="100">
        <f t="shared" si="3"/>
        <v>0</v>
      </c>
      <c r="N18" s="100">
        <f t="shared" si="3"/>
        <v>0</v>
      </c>
      <c r="O18" s="100">
        <f t="shared" si="3"/>
        <v>0</v>
      </c>
      <c r="P18" s="100">
        <f t="shared" si="3"/>
        <v>0</v>
      </c>
      <c r="Q18" s="100">
        <f t="shared" si="3"/>
        <v>0</v>
      </c>
      <c r="R18" s="100">
        <f t="shared" si="3"/>
        <v>0</v>
      </c>
      <c r="S18" s="100">
        <f t="shared" si="3"/>
        <v>0</v>
      </c>
      <c r="T18" s="100">
        <f t="shared" si="3"/>
        <v>0</v>
      </c>
      <c r="U18" s="100">
        <f t="shared" si="3"/>
        <v>0</v>
      </c>
      <c r="V18" s="100">
        <f t="shared" si="3"/>
        <v>0</v>
      </c>
      <c r="W18" s="100">
        <f t="shared" si="3"/>
        <v>0</v>
      </c>
      <c r="X18" s="100">
        <f t="shared" si="3"/>
        <v>0</v>
      </c>
      <c r="Y18" s="100">
        <f t="shared" si="3"/>
        <v>0</v>
      </c>
      <c r="Z18" s="100">
        <f t="shared" si="3"/>
        <v>0</v>
      </c>
      <c r="AA18" s="100">
        <f t="shared" si="3"/>
        <v>0</v>
      </c>
      <c r="AB18" s="100">
        <f t="shared" si="3"/>
        <v>0</v>
      </c>
      <c r="AC18" s="100">
        <f t="shared" si="3"/>
        <v>0</v>
      </c>
      <c r="AD18" s="100">
        <f t="shared" si="3"/>
        <v>0</v>
      </c>
      <c r="AE18" s="100">
        <f t="shared" si="3"/>
        <v>0</v>
      </c>
      <c r="AF18" s="100">
        <f t="shared" si="3"/>
        <v>0</v>
      </c>
      <c r="AG18" s="100">
        <f t="shared" si="3"/>
        <v>0</v>
      </c>
      <c r="AH18" s="100">
        <f t="shared" si="3"/>
        <v>0</v>
      </c>
      <c r="AI18" s="100">
        <f t="shared" si="3"/>
        <v>0</v>
      </c>
      <c r="AJ18" s="100">
        <f t="shared" si="3"/>
        <v>0</v>
      </c>
      <c r="AK18" s="100">
        <f t="shared" si="3"/>
        <v>0</v>
      </c>
      <c r="AL18" s="100">
        <f t="shared" si="3"/>
        <v>0</v>
      </c>
      <c r="AM18" s="100">
        <f t="shared" si="3"/>
        <v>0</v>
      </c>
      <c r="AN18" s="100">
        <f t="shared" si="3"/>
        <v>0</v>
      </c>
      <c r="AO18" s="100">
        <f t="shared" si="3"/>
        <v>0</v>
      </c>
      <c r="AP18" s="100">
        <f t="shared" si="3"/>
        <v>0</v>
      </c>
      <c r="AQ18" s="100">
        <f t="shared" si="3"/>
        <v>0</v>
      </c>
      <c r="AR18" s="100">
        <f t="shared" si="3"/>
        <v>0</v>
      </c>
      <c r="AS18" s="100">
        <f t="shared" si="3"/>
        <v>0</v>
      </c>
      <c r="AT18" s="100">
        <f t="shared" si="3"/>
        <v>0</v>
      </c>
      <c r="AU18" s="100">
        <f t="shared" si="3"/>
        <v>0</v>
      </c>
      <c r="AV18" s="100">
        <f t="shared" si="3"/>
        <v>0</v>
      </c>
      <c r="AW18" s="100">
        <f t="shared" si="3"/>
        <v>0</v>
      </c>
      <c r="AX18" s="100">
        <f t="shared" si="0"/>
        <v>0</v>
      </c>
      <c r="AY18" s="91" t="s">
        <v>147</v>
      </c>
      <c r="AZ18" s="91"/>
    </row>
    <row r="19" spans="1:52" ht="15.75" x14ac:dyDescent="0.25">
      <c r="A19" s="90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91"/>
      <c r="AZ19" s="91"/>
    </row>
    <row r="20" spans="1:52" ht="15.75" x14ac:dyDescent="0.25">
      <c r="A20" s="90" t="s">
        <v>148</v>
      </c>
      <c r="B20" s="100">
        <f>SUM(B18)</f>
        <v>0</v>
      </c>
      <c r="C20" s="100">
        <f>SUM(B20+C18+B22)</f>
        <v>0</v>
      </c>
      <c r="D20" s="100">
        <f t="shared" ref="D20:AW20" si="4">SUM(C20+D18+C22)</f>
        <v>0</v>
      </c>
      <c r="E20" s="100">
        <f t="shared" si="4"/>
        <v>0</v>
      </c>
      <c r="F20" s="100">
        <f t="shared" si="4"/>
        <v>0</v>
      </c>
      <c r="G20" s="100">
        <f t="shared" si="4"/>
        <v>0</v>
      </c>
      <c r="H20" s="100">
        <f t="shared" si="4"/>
        <v>0</v>
      </c>
      <c r="I20" s="100">
        <f t="shared" si="4"/>
        <v>0</v>
      </c>
      <c r="J20" s="100">
        <f t="shared" si="4"/>
        <v>0</v>
      </c>
      <c r="K20" s="100">
        <f t="shared" si="4"/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100">
        <f t="shared" si="4"/>
        <v>0</v>
      </c>
      <c r="P20" s="100">
        <f t="shared" si="4"/>
        <v>0</v>
      </c>
      <c r="Q20" s="100">
        <f t="shared" si="4"/>
        <v>0</v>
      </c>
      <c r="R20" s="100">
        <f t="shared" si="4"/>
        <v>0</v>
      </c>
      <c r="S20" s="100">
        <f t="shared" si="4"/>
        <v>0</v>
      </c>
      <c r="T20" s="100">
        <f t="shared" si="4"/>
        <v>0</v>
      </c>
      <c r="U20" s="100">
        <f t="shared" si="4"/>
        <v>0</v>
      </c>
      <c r="V20" s="100">
        <f t="shared" si="4"/>
        <v>0</v>
      </c>
      <c r="W20" s="100">
        <f t="shared" si="4"/>
        <v>0</v>
      </c>
      <c r="X20" s="100">
        <f t="shared" si="4"/>
        <v>0</v>
      </c>
      <c r="Y20" s="100">
        <f t="shared" si="4"/>
        <v>0</v>
      </c>
      <c r="Z20" s="100">
        <f t="shared" si="4"/>
        <v>0</v>
      </c>
      <c r="AA20" s="100">
        <f t="shared" si="4"/>
        <v>0</v>
      </c>
      <c r="AB20" s="100">
        <f t="shared" si="4"/>
        <v>0</v>
      </c>
      <c r="AC20" s="100">
        <f t="shared" si="4"/>
        <v>0</v>
      </c>
      <c r="AD20" s="100">
        <f t="shared" si="4"/>
        <v>0</v>
      </c>
      <c r="AE20" s="100">
        <f t="shared" si="4"/>
        <v>0</v>
      </c>
      <c r="AF20" s="100">
        <f t="shared" si="4"/>
        <v>0</v>
      </c>
      <c r="AG20" s="100">
        <f t="shared" si="4"/>
        <v>0</v>
      </c>
      <c r="AH20" s="100">
        <f t="shared" si="4"/>
        <v>0</v>
      </c>
      <c r="AI20" s="100">
        <f t="shared" si="4"/>
        <v>0</v>
      </c>
      <c r="AJ20" s="100">
        <f t="shared" si="4"/>
        <v>0</v>
      </c>
      <c r="AK20" s="100">
        <f t="shared" si="4"/>
        <v>0</v>
      </c>
      <c r="AL20" s="100">
        <f t="shared" si="4"/>
        <v>0</v>
      </c>
      <c r="AM20" s="100">
        <f t="shared" si="4"/>
        <v>0</v>
      </c>
      <c r="AN20" s="100">
        <f t="shared" si="4"/>
        <v>0</v>
      </c>
      <c r="AO20" s="100">
        <f t="shared" si="4"/>
        <v>0</v>
      </c>
      <c r="AP20" s="100">
        <f t="shared" si="4"/>
        <v>0</v>
      </c>
      <c r="AQ20" s="100">
        <f t="shared" si="4"/>
        <v>0</v>
      </c>
      <c r="AR20" s="100">
        <f t="shared" si="4"/>
        <v>0</v>
      </c>
      <c r="AS20" s="100">
        <f t="shared" si="4"/>
        <v>0</v>
      </c>
      <c r="AT20" s="100">
        <f t="shared" si="4"/>
        <v>0</v>
      </c>
      <c r="AU20" s="100">
        <f t="shared" si="4"/>
        <v>0</v>
      </c>
      <c r="AV20" s="100">
        <f t="shared" si="4"/>
        <v>0</v>
      </c>
      <c r="AW20" s="100">
        <f t="shared" si="4"/>
        <v>0</v>
      </c>
      <c r="AX20" s="100">
        <f t="shared" si="0"/>
        <v>0</v>
      </c>
      <c r="AY20" s="91" t="s">
        <v>148</v>
      </c>
      <c r="AZ20" s="91"/>
    </row>
    <row r="21" spans="1:52" ht="15.75" x14ac:dyDescent="0.25">
      <c r="A21" s="9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91"/>
      <c r="AZ21" s="91"/>
    </row>
    <row r="22" spans="1:52" ht="15.75" x14ac:dyDescent="0.25">
      <c r="A22" s="90" t="s">
        <v>149</v>
      </c>
      <c r="B22" s="100">
        <f>SUM(B20)*7%/12</f>
        <v>0</v>
      </c>
      <c r="C22" s="100">
        <f>SUM(C20)*7%/12</f>
        <v>0</v>
      </c>
      <c r="D22" s="100">
        <f t="shared" ref="D22:AW22" si="5">SUM(D20)*7%/12</f>
        <v>0</v>
      </c>
      <c r="E22" s="100">
        <f t="shared" si="5"/>
        <v>0</v>
      </c>
      <c r="F22" s="100">
        <f t="shared" si="5"/>
        <v>0</v>
      </c>
      <c r="G22" s="100">
        <f t="shared" si="5"/>
        <v>0</v>
      </c>
      <c r="H22" s="100">
        <f t="shared" si="5"/>
        <v>0</v>
      </c>
      <c r="I22" s="100">
        <f t="shared" si="5"/>
        <v>0</v>
      </c>
      <c r="J22" s="100">
        <f t="shared" si="5"/>
        <v>0</v>
      </c>
      <c r="K22" s="100">
        <f t="shared" si="5"/>
        <v>0</v>
      </c>
      <c r="L22" s="100">
        <f t="shared" si="5"/>
        <v>0</v>
      </c>
      <c r="M22" s="100">
        <f t="shared" si="5"/>
        <v>0</v>
      </c>
      <c r="N22" s="100">
        <f t="shared" si="5"/>
        <v>0</v>
      </c>
      <c r="O22" s="100">
        <f t="shared" si="5"/>
        <v>0</v>
      </c>
      <c r="P22" s="100">
        <f t="shared" si="5"/>
        <v>0</v>
      </c>
      <c r="Q22" s="100">
        <f t="shared" si="5"/>
        <v>0</v>
      </c>
      <c r="R22" s="100">
        <f t="shared" si="5"/>
        <v>0</v>
      </c>
      <c r="S22" s="100">
        <f t="shared" si="5"/>
        <v>0</v>
      </c>
      <c r="T22" s="100">
        <f t="shared" si="5"/>
        <v>0</v>
      </c>
      <c r="U22" s="100">
        <f t="shared" si="5"/>
        <v>0</v>
      </c>
      <c r="V22" s="100">
        <f t="shared" si="5"/>
        <v>0</v>
      </c>
      <c r="W22" s="100">
        <f t="shared" si="5"/>
        <v>0</v>
      </c>
      <c r="X22" s="100">
        <f t="shared" si="5"/>
        <v>0</v>
      </c>
      <c r="Y22" s="100">
        <f t="shared" si="5"/>
        <v>0</v>
      </c>
      <c r="Z22" s="100">
        <f t="shared" si="5"/>
        <v>0</v>
      </c>
      <c r="AA22" s="100">
        <f t="shared" si="5"/>
        <v>0</v>
      </c>
      <c r="AB22" s="100">
        <f t="shared" si="5"/>
        <v>0</v>
      </c>
      <c r="AC22" s="100">
        <f t="shared" si="5"/>
        <v>0</v>
      </c>
      <c r="AD22" s="100">
        <f t="shared" si="5"/>
        <v>0</v>
      </c>
      <c r="AE22" s="100">
        <f t="shared" si="5"/>
        <v>0</v>
      </c>
      <c r="AF22" s="100">
        <f t="shared" si="5"/>
        <v>0</v>
      </c>
      <c r="AG22" s="100">
        <f t="shared" si="5"/>
        <v>0</v>
      </c>
      <c r="AH22" s="100">
        <f t="shared" si="5"/>
        <v>0</v>
      </c>
      <c r="AI22" s="100">
        <f t="shared" si="5"/>
        <v>0</v>
      </c>
      <c r="AJ22" s="100">
        <f t="shared" si="5"/>
        <v>0</v>
      </c>
      <c r="AK22" s="100">
        <f t="shared" si="5"/>
        <v>0</v>
      </c>
      <c r="AL22" s="100">
        <f t="shared" si="5"/>
        <v>0</v>
      </c>
      <c r="AM22" s="100">
        <f t="shared" si="5"/>
        <v>0</v>
      </c>
      <c r="AN22" s="100">
        <f t="shared" si="5"/>
        <v>0</v>
      </c>
      <c r="AO22" s="100">
        <f t="shared" si="5"/>
        <v>0</v>
      </c>
      <c r="AP22" s="100">
        <f t="shared" si="5"/>
        <v>0</v>
      </c>
      <c r="AQ22" s="100">
        <f t="shared" si="5"/>
        <v>0</v>
      </c>
      <c r="AR22" s="100">
        <f t="shared" si="5"/>
        <v>0</v>
      </c>
      <c r="AS22" s="100">
        <f t="shared" si="5"/>
        <v>0</v>
      </c>
      <c r="AT22" s="100">
        <f t="shared" si="5"/>
        <v>0</v>
      </c>
      <c r="AU22" s="100">
        <f t="shared" si="5"/>
        <v>0</v>
      </c>
      <c r="AV22" s="100">
        <f t="shared" si="5"/>
        <v>0</v>
      </c>
      <c r="AW22" s="100">
        <f t="shared" si="5"/>
        <v>0</v>
      </c>
      <c r="AX22" s="100">
        <f t="shared" si="0"/>
        <v>0</v>
      </c>
      <c r="AY22" s="91" t="s">
        <v>149</v>
      </c>
      <c r="AZ22" s="91"/>
    </row>
    <row r="23" spans="1:52" x14ac:dyDescent="0.25"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91"/>
      <c r="AZ23" s="91"/>
    </row>
    <row r="24" spans="1:52" x14ac:dyDescent="0.25"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</row>
    <row r="25" spans="1:52" x14ac:dyDescent="0.25"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</row>
    <row r="26" spans="1:52" x14ac:dyDescent="0.25"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</row>
    <row r="27" spans="1:52" ht="15.75" x14ac:dyDescent="0.25">
      <c r="A27" s="90" t="s">
        <v>163</v>
      </c>
      <c r="B27" s="115"/>
      <c r="C27" s="115"/>
      <c r="D27" s="91"/>
      <c r="E27" s="91"/>
      <c r="F27" s="91"/>
      <c r="G27" s="91"/>
      <c r="H27" s="91"/>
      <c r="I27" s="91"/>
      <c r="J27" s="91"/>
      <c r="K27" s="91"/>
      <c r="L27" s="91"/>
      <c r="M27" s="91" t="s">
        <v>52</v>
      </c>
      <c r="N27" s="91"/>
      <c r="O27" s="112">
        <f>SUM('Residential Costs'!B27+'Commercial Costs'!B26)</f>
        <v>215706750</v>
      </c>
      <c r="P27" s="91"/>
      <c r="Q27" s="91" t="s">
        <v>150</v>
      </c>
      <c r="R27" s="91"/>
      <c r="S27" s="91"/>
      <c r="T27" s="91">
        <f>SUM('Residential Costs'!G37)</f>
        <v>81</v>
      </c>
      <c r="U27" s="91" t="s">
        <v>115</v>
      </c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</row>
    <row r="28" spans="1:52" ht="15.75" x14ac:dyDescent="0.25">
      <c r="A28" s="42"/>
      <c r="B28" s="115"/>
      <c r="C28" s="115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</row>
    <row r="29" spans="1:52" ht="15.75" x14ac:dyDescent="0.25">
      <c r="A29" s="42" t="s">
        <v>142</v>
      </c>
      <c r="B29" s="113">
        <f>SUM(AX7)</f>
        <v>0</v>
      </c>
      <c r="C29" s="115"/>
      <c r="D29" s="91"/>
      <c r="E29" s="91"/>
      <c r="F29" s="91"/>
      <c r="G29" s="91"/>
      <c r="H29" s="91"/>
      <c r="I29" s="91"/>
      <c r="J29" s="91"/>
      <c r="K29" s="91"/>
      <c r="L29" s="91"/>
      <c r="M29" s="93" t="s">
        <v>151</v>
      </c>
      <c r="N29" s="91"/>
      <c r="O29" s="117">
        <f>SUM(O27/T27)</f>
        <v>2663046.2962962962</v>
      </c>
      <c r="P29" s="91"/>
      <c r="Q29" s="91" t="s">
        <v>155</v>
      </c>
      <c r="R29" s="91"/>
      <c r="S29" s="91"/>
      <c r="T29" s="91">
        <f>SUM('Residential Costs'!G40)</f>
        <v>102</v>
      </c>
      <c r="U29" s="91" t="s">
        <v>115</v>
      </c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</row>
    <row r="30" spans="1:52" ht="15.75" x14ac:dyDescent="0.25">
      <c r="A30" s="42" t="s">
        <v>143</v>
      </c>
      <c r="B30" s="113">
        <f>SUM(AX8)</f>
        <v>0</v>
      </c>
      <c r="C30" s="115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</row>
    <row r="31" spans="1:52" ht="15.75" x14ac:dyDescent="0.25">
      <c r="A31" s="42" t="s">
        <v>164</v>
      </c>
      <c r="B31" s="113">
        <f>SUM(AX9)</f>
        <v>0</v>
      </c>
      <c r="C31" s="115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</row>
    <row r="32" spans="1:52" ht="15.75" x14ac:dyDescent="0.25">
      <c r="A32" s="42" t="s">
        <v>165</v>
      </c>
      <c r="B32" s="113">
        <f>SUM(AX10)</f>
        <v>0</v>
      </c>
      <c r="C32" s="115"/>
      <c r="D32" s="91"/>
      <c r="E32" s="91"/>
      <c r="F32" s="91"/>
      <c r="G32" s="91"/>
      <c r="H32" s="91"/>
      <c r="I32" s="91"/>
      <c r="J32" s="91"/>
      <c r="K32" s="91"/>
      <c r="L32" s="91"/>
      <c r="M32" s="93" t="s">
        <v>152</v>
      </c>
      <c r="N32" s="91"/>
      <c r="O32" s="112">
        <f>SUM('Residential Costs'!B45+'Commercial Costs'!B44)</f>
        <v>22938697.250588715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</row>
    <row r="33" spans="1:52" ht="15.75" x14ac:dyDescent="0.25">
      <c r="A33" s="42" t="s">
        <v>146</v>
      </c>
      <c r="B33" s="113">
        <f>SUM(AX11)</f>
        <v>0</v>
      </c>
      <c r="C33" s="115"/>
      <c r="D33" s="91"/>
      <c r="E33" s="91"/>
      <c r="F33" s="91"/>
      <c r="G33" s="91"/>
      <c r="H33" s="91"/>
      <c r="I33" s="91"/>
      <c r="J33" s="91"/>
      <c r="K33" s="91"/>
      <c r="L33" s="91"/>
      <c r="M33" s="91" t="s">
        <v>157</v>
      </c>
      <c r="N33" s="91"/>
      <c r="O33" s="112">
        <f>SUM(O32/T29)</f>
        <v>224889.18873126191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</row>
    <row r="34" spans="1:5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 t="s">
        <v>153</v>
      </c>
      <c r="N34" s="91"/>
      <c r="O34" s="112">
        <f>SUM('Residential Costs'!B69+'Commercial Costs'!B66)</f>
        <v>57335299.433830723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</row>
    <row r="35" spans="1:52" ht="15.75" x14ac:dyDescent="0.25">
      <c r="A35" s="42" t="s">
        <v>31</v>
      </c>
      <c r="B35" s="100">
        <f>SUM(AX13)</f>
        <v>0</v>
      </c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</row>
    <row r="36" spans="1:5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3" t="s">
        <v>154</v>
      </c>
      <c r="N36" s="91"/>
      <c r="O36" s="117">
        <f>SUM(O34/T29)</f>
        <v>562110.77876304626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</row>
    <row r="37" spans="1:52" ht="15.75" x14ac:dyDescent="0.25">
      <c r="A37" s="42" t="s">
        <v>166</v>
      </c>
      <c r="B37" s="100">
        <f>SUM(AX15)</f>
        <v>0</v>
      </c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</row>
    <row r="38" spans="1:52" x14ac:dyDescent="0.25">
      <c r="A38" s="16" t="s">
        <v>167</v>
      </c>
      <c r="B38" s="118">
        <f>SUM(AX16)</f>
        <v>0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3" t="s">
        <v>156</v>
      </c>
      <c r="N38" s="91"/>
      <c r="O38" s="117">
        <f>SUM('Residential Costs'!B37+'Commercial Costs'!B36)</f>
        <v>8548988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</row>
    <row r="39" spans="1:52" x14ac:dyDescent="0.25">
      <c r="A39" s="16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3"/>
      <c r="N39" s="91"/>
      <c r="O39" s="117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</row>
    <row r="40" spans="1:52" x14ac:dyDescent="0.25">
      <c r="A40" s="16" t="s">
        <v>161</v>
      </c>
      <c r="B40" s="100">
        <f>SUM(AX17)</f>
        <v>0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3" t="s">
        <v>158</v>
      </c>
      <c r="N40" s="91"/>
      <c r="O40" s="118">
        <f>SUM('Residential Revenue'!J123)</f>
        <v>210488499</v>
      </c>
      <c r="P40" s="91"/>
      <c r="Q40" s="93" t="s">
        <v>162</v>
      </c>
      <c r="R40" s="93"/>
      <c r="S40" s="118">
        <f>SUM(O40/Summary!B10)</f>
        <v>339497.57903225807</v>
      </c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</row>
    <row r="41" spans="1:52" x14ac:dyDescent="0.25">
      <c r="A41" s="16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3" t="s">
        <v>159</v>
      </c>
      <c r="N41" s="91"/>
      <c r="O41" s="118">
        <f>SUM(' Commercial Revenue'!E24)</f>
        <v>101583997.55887148</v>
      </c>
      <c r="P41" s="91"/>
      <c r="Q41" s="91" t="s">
        <v>169</v>
      </c>
      <c r="R41" s="91"/>
      <c r="S41" s="100">
        <f>SUM(S40*10%)</f>
        <v>33949.757903225807</v>
      </c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</row>
    <row r="42" spans="1:52" x14ac:dyDescent="0.25">
      <c r="A42" s="16" t="s">
        <v>168</v>
      </c>
      <c r="B42" s="100">
        <f>SUM(AX22)</f>
        <v>0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 t="s">
        <v>170</v>
      </c>
      <c r="R42" s="91"/>
      <c r="S42" s="100">
        <f>SUM(S40-S41)</f>
        <v>305547.82112903229</v>
      </c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</row>
    <row r="43" spans="1:52" x14ac:dyDescent="0.25"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3" t="s">
        <v>0</v>
      </c>
      <c r="N43" s="91"/>
      <c r="O43" s="118">
        <f>SUM('Residential Revenue'!J123+' Commercial Revenue'!E24)</f>
        <v>312072496.55887151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</row>
    <row r="44" spans="1:52" x14ac:dyDescent="0.25"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</row>
    <row r="45" spans="1:52" x14ac:dyDescent="0.25"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</row>
    <row r="46" spans="1:52" x14ac:dyDescent="0.25"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</row>
    <row r="47" spans="1:52" x14ac:dyDescent="0.25"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</row>
  </sheetData>
  <sheetProtection algorithmName="SHA-512" hashValue="SrVj0NKqS0SpdkfhM+gpKkMb6kZ2aPig5wJe1oX3ZyK2nbguEUqjLInA/RR12PprAp89J/uGfPDWaI2j2a4ZtA==" saltValue="pHxdK0DZT3rsLjUSI0Jc9Q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82AC-F65E-4226-83C6-B448B8F1B445}">
  <dimension ref="A1:AZ43"/>
  <sheetViews>
    <sheetView workbookViewId="0">
      <selection activeCell="D28" sqref="D28"/>
    </sheetView>
  </sheetViews>
  <sheetFormatPr defaultRowHeight="15" x14ac:dyDescent="0.25"/>
  <cols>
    <col min="1" max="1" width="21.140625" bestFit="1" customWidth="1"/>
    <col min="2" max="2" width="11.28515625" bestFit="1" customWidth="1"/>
    <col min="3" max="12" width="10.85546875" bestFit="1" customWidth="1"/>
    <col min="13" max="13" width="19.7109375" bestFit="1" customWidth="1"/>
    <col min="14" max="14" width="10.85546875" bestFit="1" customWidth="1"/>
    <col min="15" max="15" width="12.7109375" bestFit="1" customWidth="1"/>
    <col min="16" max="16" width="10.85546875" bestFit="1" customWidth="1"/>
    <col min="17" max="17" width="23.42578125" bestFit="1" customWidth="1"/>
    <col min="18" max="49" width="10.85546875" bestFit="1" customWidth="1"/>
    <col min="50" max="50" width="12.85546875" bestFit="1" customWidth="1"/>
    <col min="51" max="51" width="16.28515625" bestFit="1" customWidth="1"/>
  </cols>
  <sheetData>
    <row r="1" spans="1:51" ht="18.75" x14ac:dyDescent="0.3">
      <c r="A1" s="81" t="s">
        <v>140</v>
      </c>
    </row>
    <row r="3" spans="1:51" x14ac:dyDescent="0.25">
      <c r="AX3" t="s">
        <v>91</v>
      </c>
    </row>
    <row r="5" spans="1:51" ht="15.75" x14ac:dyDescent="0.25">
      <c r="A5" s="90" t="s">
        <v>141</v>
      </c>
      <c r="B5" s="90">
        <v>1</v>
      </c>
      <c r="C5" s="90">
        <v>2</v>
      </c>
      <c r="D5" s="90">
        <v>3</v>
      </c>
      <c r="E5" s="90">
        <v>4</v>
      </c>
      <c r="F5" s="90">
        <v>5</v>
      </c>
      <c r="G5" s="90">
        <v>6</v>
      </c>
      <c r="H5" s="90">
        <v>7</v>
      </c>
      <c r="I5" s="90">
        <v>8</v>
      </c>
      <c r="J5" s="90">
        <v>9</v>
      </c>
      <c r="K5" s="90">
        <v>10</v>
      </c>
      <c r="L5" s="90">
        <v>11</v>
      </c>
      <c r="M5" s="90">
        <v>12</v>
      </c>
      <c r="N5" s="90">
        <v>13</v>
      </c>
      <c r="O5" s="90">
        <v>14</v>
      </c>
      <c r="P5" s="90">
        <v>15</v>
      </c>
      <c r="Q5" s="90">
        <v>16</v>
      </c>
      <c r="R5" s="90">
        <v>17</v>
      </c>
      <c r="S5" s="90">
        <v>18</v>
      </c>
      <c r="T5" s="90">
        <v>19</v>
      </c>
      <c r="U5" s="90">
        <v>20</v>
      </c>
      <c r="V5" s="90">
        <v>21</v>
      </c>
      <c r="W5" s="90">
        <v>22</v>
      </c>
      <c r="X5" s="90">
        <v>23</v>
      </c>
      <c r="Y5" s="90">
        <v>24</v>
      </c>
      <c r="Z5" s="90">
        <v>25</v>
      </c>
      <c r="AA5" s="90">
        <v>26</v>
      </c>
      <c r="AB5" s="90">
        <v>27</v>
      </c>
      <c r="AC5" s="90">
        <v>28</v>
      </c>
      <c r="AD5" s="90">
        <v>29</v>
      </c>
      <c r="AE5" s="90">
        <v>30</v>
      </c>
      <c r="AF5" s="90">
        <v>31</v>
      </c>
      <c r="AG5" s="90">
        <v>32</v>
      </c>
      <c r="AH5" s="90">
        <v>33</v>
      </c>
      <c r="AI5" s="90">
        <v>34</v>
      </c>
      <c r="AJ5" s="90">
        <v>35</v>
      </c>
      <c r="AK5" s="90">
        <v>36</v>
      </c>
      <c r="AL5" s="90">
        <v>37</v>
      </c>
      <c r="AM5" s="90">
        <v>38</v>
      </c>
      <c r="AN5" s="90">
        <v>39</v>
      </c>
      <c r="AO5" s="90">
        <v>40</v>
      </c>
      <c r="AP5" s="90">
        <v>41</v>
      </c>
      <c r="AQ5" s="90">
        <v>42</v>
      </c>
      <c r="AR5" s="90">
        <v>43</v>
      </c>
      <c r="AS5" s="90">
        <v>44</v>
      </c>
      <c r="AT5" s="90">
        <v>45</v>
      </c>
      <c r="AU5" s="90">
        <v>46</v>
      </c>
      <c r="AV5" s="90">
        <v>47</v>
      </c>
      <c r="AW5" s="90">
        <v>48</v>
      </c>
      <c r="AX5" s="90"/>
      <c r="AY5" s="90" t="s">
        <v>141</v>
      </c>
    </row>
    <row r="7" spans="1:51" ht="15.75" x14ac:dyDescent="0.25">
      <c r="A7" s="90" t="s">
        <v>142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00">
        <f>SUM(B7:AW7)</f>
        <v>0</v>
      </c>
      <c r="AY7" s="91" t="s">
        <v>142</v>
      </c>
    </row>
    <row r="8" spans="1:51" ht="15.75" x14ac:dyDescent="0.25">
      <c r="A8" s="90" t="s">
        <v>143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00">
        <f t="shared" ref="AX8:AX22" si="0">SUM(B8:AW8)</f>
        <v>0</v>
      </c>
      <c r="AY8" s="91" t="s">
        <v>143</v>
      </c>
    </row>
    <row r="9" spans="1:51" ht="15.75" x14ac:dyDescent="0.25">
      <c r="A9" s="90" t="s">
        <v>144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00">
        <f t="shared" si="0"/>
        <v>0</v>
      </c>
      <c r="AY9" s="91" t="s">
        <v>144</v>
      </c>
    </row>
    <row r="10" spans="1:51" ht="15.75" x14ac:dyDescent="0.25">
      <c r="A10" s="90" t="s">
        <v>145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00">
        <f t="shared" si="0"/>
        <v>0</v>
      </c>
      <c r="AY10" s="91" t="s">
        <v>145</v>
      </c>
    </row>
    <row r="11" spans="1:51" ht="15.75" x14ac:dyDescent="0.25">
      <c r="A11" s="90" t="s">
        <v>146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00">
        <f t="shared" si="0"/>
        <v>0</v>
      </c>
      <c r="AY11" s="91" t="s">
        <v>146</v>
      </c>
    </row>
    <row r="12" spans="1:51" ht="15.75" x14ac:dyDescent="0.25">
      <c r="A12" s="9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1:51" ht="15.75" x14ac:dyDescent="0.25">
      <c r="A13" s="90" t="s">
        <v>31</v>
      </c>
      <c r="B13" s="14">
        <f>SUM(B7:B11)</f>
        <v>0</v>
      </c>
      <c r="C13" s="14">
        <f t="shared" ref="C13:AW13" si="1">SUM(C7:C11)</f>
        <v>0</v>
      </c>
      <c r="D13" s="14">
        <f t="shared" si="1"/>
        <v>0</v>
      </c>
      <c r="E13" s="14">
        <f>SUM(E7:E11)</f>
        <v>0</v>
      </c>
      <c r="F13" s="14">
        <f t="shared" si="1"/>
        <v>0</v>
      </c>
      <c r="G13" s="14">
        <f t="shared" si="1"/>
        <v>0</v>
      </c>
      <c r="H13" s="14">
        <f t="shared" si="1"/>
        <v>0</v>
      </c>
      <c r="I13" s="14">
        <f t="shared" si="1"/>
        <v>0</v>
      </c>
      <c r="J13" s="14">
        <f t="shared" si="1"/>
        <v>0</v>
      </c>
      <c r="K13" s="14">
        <f t="shared" si="1"/>
        <v>0</v>
      </c>
      <c r="L13" s="14">
        <f t="shared" si="1"/>
        <v>0</v>
      </c>
      <c r="M13" s="14">
        <f t="shared" si="1"/>
        <v>0</v>
      </c>
      <c r="N13" s="14">
        <f t="shared" si="1"/>
        <v>0</v>
      </c>
      <c r="O13" s="14">
        <f t="shared" si="1"/>
        <v>0</v>
      </c>
      <c r="P13" s="14">
        <f t="shared" si="1"/>
        <v>0</v>
      </c>
      <c r="Q13" s="14">
        <f t="shared" si="1"/>
        <v>0</v>
      </c>
      <c r="R13" s="14">
        <f t="shared" si="1"/>
        <v>0</v>
      </c>
      <c r="S13" s="14">
        <f t="shared" si="1"/>
        <v>0</v>
      </c>
      <c r="T13" s="14">
        <f t="shared" si="1"/>
        <v>0</v>
      </c>
      <c r="U13" s="14">
        <f t="shared" si="1"/>
        <v>0</v>
      </c>
      <c r="V13" s="14">
        <f t="shared" si="1"/>
        <v>0</v>
      </c>
      <c r="W13" s="14">
        <f t="shared" si="1"/>
        <v>0</v>
      </c>
      <c r="X13" s="14">
        <f t="shared" si="1"/>
        <v>0</v>
      </c>
      <c r="Y13" s="14">
        <f t="shared" si="1"/>
        <v>0</v>
      </c>
      <c r="Z13" s="14">
        <f t="shared" si="1"/>
        <v>0</v>
      </c>
      <c r="AA13" s="14">
        <f t="shared" si="1"/>
        <v>0</v>
      </c>
      <c r="AB13" s="14">
        <f t="shared" si="1"/>
        <v>0</v>
      </c>
      <c r="AC13" s="14">
        <f t="shared" si="1"/>
        <v>0</v>
      </c>
      <c r="AD13" s="14">
        <f t="shared" si="1"/>
        <v>0</v>
      </c>
      <c r="AE13" s="14">
        <f t="shared" si="1"/>
        <v>0</v>
      </c>
      <c r="AF13" s="14">
        <f t="shared" si="1"/>
        <v>0</v>
      </c>
      <c r="AG13" s="14">
        <f t="shared" si="1"/>
        <v>0</v>
      </c>
      <c r="AH13" s="14">
        <f t="shared" si="1"/>
        <v>0</v>
      </c>
      <c r="AI13" s="14">
        <f t="shared" si="1"/>
        <v>0</v>
      </c>
      <c r="AJ13" s="14">
        <f t="shared" si="1"/>
        <v>0</v>
      </c>
      <c r="AK13" s="14">
        <f t="shared" si="1"/>
        <v>0</v>
      </c>
      <c r="AL13" s="14">
        <f t="shared" si="1"/>
        <v>0</v>
      </c>
      <c r="AM13" s="14">
        <f t="shared" si="1"/>
        <v>0</v>
      </c>
      <c r="AN13" s="14">
        <f t="shared" si="1"/>
        <v>0</v>
      </c>
      <c r="AO13" s="14">
        <f t="shared" si="1"/>
        <v>0</v>
      </c>
      <c r="AP13" s="14">
        <f t="shared" si="1"/>
        <v>0</v>
      </c>
      <c r="AQ13" s="14">
        <f t="shared" si="1"/>
        <v>0</v>
      </c>
      <c r="AR13" s="14">
        <f t="shared" si="1"/>
        <v>0</v>
      </c>
      <c r="AS13" s="14">
        <f t="shared" si="1"/>
        <v>0</v>
      </c>
      <c r="AT13" s="14">
        <f t="shared" si="1"/>
        <v>0</v>
      </c>
      <c r="AU13" s="14">
        <f t="shared" si="1"/>
        <v>0</v>
      </c>
      <c r="AV13" s="14">
        <f t="shared" si="1"/>
        <v>0</v>
      </c>
      <c r="AW13" s="14">
        <f t="shared" si="1"/>
        <v>0</v>
      </c>
      <c r="AX13" s="14">
        <f t="shared" si="0"/>
        <v>0</v>
      </c>
      <c r="AY13" t="s">
        <v>31</v>
      </c>
    </row>
    <row r="14" spans="1:51" ht="15.75" x14ac:dyDescent="0.25">
      <c r="A14" s="9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</row>
    <row r="15" spans="1:51" ht="15.75" x14ac:dyDescent="0.25">
      <c r="A15" s="90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4">
        <f t="shared" si="0"/>
        <v>0</v>
      </c>
      <c r="AY15" t="s">
        <v>171</v>
      </c>
    </row>
    <row r="16" spans="1:51" ht="15.75" x14ac:dyDescent="0.25">
      <c r="A16" s="90" t="s">
        <v>160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4">
        <f>SUM(B16:AW16)</f>
        <v>0</v>
      </c>
      <c r="AY16" t="s">
        <v>172</v>
      </c>
    </row>
    <row r="17" spans="1:52" ht="15.75" x14ac:dyDescent="0.25">
      <c r="A17" s="90" t="s">
        <v>161</v>
      </c>
      <c r="B17" s="100">
        <f>SUM(B15:B16)</f>
        <v>0</v>
      </c>
      <c r="C17" s="100">
        <f t="shared" ref="C17:AW17" si="2">SUM(C15:C16)</f>
        <v>0</v>
      </c>
      <c r="D17" s="100">
        <f t="shared" si="2"/>
        <v>0</v>
      </c>
      <c r="E17" s="100">
        <f t="shared" si="2"/>
        <v>0</v>
      </c>
      <c r="F17" s="100">
        <f t="shared" si="2"/>
        <v>0</v>
      </c>
      <c r="G17" s="100">
        <f t="shared" si="2"/>
        <v>0</v>
      </c>
      <c r="H17" s="100">
        <f t="shared" si="2"/>
        <v>0</v>
      </c>
      <c r="I17" s="100">
        <f t="shared" si="2"/>
        <v>0</v>
      </c>
      <c r="J17" s="100">
        <f t="shared" si="2"/>
        <v>0</v>
      </c>
      <c r="K17" s="100">
        <f t="shared" si="2"/>
        <v>0</v>
      </c>
      <c r="L17" s="100">
        <f t="shared" si="2"/>
        <v>0</v>
      </c>
      <c r="M17" s="100">
        <f t="shared" si="2"/>
        <v>0</v>
      </c>
      <c r="N17" s="100">
        <f t="shared" si="2"/>
        <v>0</v>
      </c>
      <c r="O17" s="100">
        <f t="shared" si="2"/>
        <v>0</v>
      </c>
      <c r="P17" s="100">
        <f t="shared" si="2"/>
        <v>0</v>
      </c>
      <c r="Q17" s="100">
        <f t="shared" si="2"/>
        <v>0</v>
      </c>
      <c r="R17" s="100">
        <f t="shared" si="2"/>
        <v>0</v>
      </c>
      <c r="S17" s="100">
        <f t="shared" si="2"/>
        <v>0</v>
      </c>
      <c r="T17" s="100">
        <f t="shared" si="2"/>
        <v>0</v>
      </c>
      <c r="U17" s="100">
        <f t="shared" si="2"/>
        <v>0</v>
      </c>
      <c r="V17" s="100">
        <f t="shared" si="2"/>
        <v>0</v>
      </c>
      <c r="W17" s="100">
        <f t="shared" si="2"/>
        <v>0</v>
      </c>
      <c r="X17" s="100">
        <f t="shared" si="2"/>
        <v>0</v>
      </c>
      <c r="Y17" s="100">
        <f t="shared" si="2"/>
        <v>0</v>
      </c>
      <c r="Z17" s="100">
        <f t="shared" si="2"/>
        <v>0</v>
      </c>
      <c r="AA17" s="100">
        <f t="shared" si="2"/>
        <v>0</v>
      </c>
      <c r="AB17" s="100">
        <f t="shared" si="2"/>
        <v>0</v>
      </c>
      <c r="AC17" s="100">
        <f t="shared" si="2"/>
        <v>0</v>
      </c>
      <c r="AD17" s="100">
        <f t="shared" si="2"/>
        <v>0</v>
      </c>
      <c r="AE17" s="100">
        <f t="shared" si="2"/>
        <v>0</v>
      </c>
      <c r="AF17" s="100">
        <f t="shared" si="2"/>
        <v>0</v>
      </c>
      <c r="AG17" s="100">
        <f t="shared" si="2"/>
        <v>0</v>
      </c>
      <c r="AH17" s="100">
        <f t="shared" si="2"/>
        <v>0</v>
      </c>
      <c r="AI17" s="100">
        <f t="shared" si="2"/>
        <v>0</v>
      </c>
      <c r="AJ17" s="100">
        <f t="shared" si="2"/>
        <v>0</v>
      </c>
      <c r="AK17" s="100">
        <f t="shared" si="2"/>
        <v>0</v>
      </c>
      <c r="AL17" s="100">
        <f t="shared" si="2"/>
        <v>0</v>
      </c>
      <c r="AM17" s="100">
        <f t="shared" si="2"/>
        <v>0</v>
      </c>
      <c r="AN17" s="100">
        <f t="shared" si="2"/>
        <v>0</v>
      </c>
      <c r="AO17" s="100">
        <f t="shared" si="2"/>
        <v>0</v>
      </c>
      <c r="AP17" s="100">
        <f t="shared" si="2"/>
        <v>0</v>
      </c>
      <c r="AQ17" s="100">
        <f t="shared" si="2"/>
        <v>0</v>
      </c>
      <c r="AR17" s="100">
        <f t="shared" si="2"/>
        <v>0</v>
      </c>
      <c r="AS17" s="100">
        <f t="shared" si="2"/>
        <v>0</v>
      </c>
      <c r="AT17" s="100">
        <f t="shared" si="2"/>
        <v>0</v>
      </c>
      <c r="AU17" s="100">
        <f t="shared" si="2"/>
        <v>0</v>
      </c>
      <c r="AV17" s="100">
        <f t="shared" si="2"/>
        <v>0</v>
      </c>
      <c r="AW17" s="100">
        <f t="shared" si="2"/>
        <v>0</v>
      </c>
      <c r="AX17" s="100">
        <f t="shared" si="0"/>
        <v>0</v>
      </c>
      <c r="AY17" s="91" t="s">
        <v>0</v>
      </c>
      <c r="AZ17" s="91"/>
    </row>
    <row r="18" spans="1:52" ht="15.75" x14ac:dyDescent="0.25">
      <c r="A18" s="90" t="s">
        <v>147</v>
      </c>
      <c r="B18" s="100">
        <f>SUM(B17-B13)</f>
        <v>0</v>
      </c>
      <c r="C18" s="100">
        <f t="shared" ref="C18:AW18" si="3">SUM(C17-C13)</f>
        <v>0</v>
      </c>
      <c r="D18" s="100">
        <f t="shared" si="3"/>
        <v>0</v>
      </c>
      <c r="E18" s="100">
        <f t="shared" si="3"/>
        <v>0</v>
      </c>
      <c r="F18" s="100">
        <f t="shared" si="3"/>
        <v>0</v>
      </c>
      <c r="G18" s="100">
        <f t="shared" si="3"/>
        <v>0</v>
      </c>
      <c r="H18" s="100">
        <f t="shared" si="3"/>
        <v>0</v>
      </c>
      <c r="I18" s="100">
        <f t="shared" si="3"/>
        <v>0</v>
      </c>
      <c r="J18" s="100">
        <f t="shared" si="3"/>
        <v>0</v>
      </c>
      <c r="K18" s="100">
        <f t="shared" si="3"/>
        <v>0</v>
      </c>
      <c r="L18" s="100">
        <f t="shared" si="3"/>
        <v>0</v>
      </c>
      <c r="M18" s="100">
        <f t="shared" si="3"/>
        <v>0</v>
      </c>
      <c r="N18" s="100">
        <f t="shared" si="3"/>
        <v>0</v>
      </c>
      <c r="O18" s="100">
        <f t="shared" si="3"/>
        <v>0</v>
      </c>
      <c r="P18" s="100">
        <f t="shared" si="3"/>
        <v>0</v>
      </c>
      <c r="Q18" s="100">
        <f t="shared" si="3"/>
        <v>0</v>
      </c>
      <c r="R18" s="100">
        <f t="shared" si="3"/>
        <v>0</v>
      </c>
      <c r="S18" s="100">
        <f t="shared" si="3"/>
        <v>0</v>
      </c>
      <c r="T18" s="100">
        <f t="shared" si="3"/>
        <v>0</v>
      </c>
      <c r="U18" s="100">
        <f t="shared" si="3"/>
        <v>0</v>
      </c>
      <c r="V18" s="100">
        <f t="shared" si="3"/>
        <v>0</v>
      </c>
      <c r="W18" s="100">
        <f t="shared" si="3"/>
        <v>0</v>
      </c>
      <c r="X18" s="100">
        <f t="shared" si="3"/>
        <v>0</v>
      </c>
      <c r="Y18" s="100">
        <f t="shared" si="3"/>
        <v>0</v>
      </c>
      <c r="Z18" s="100">
        <f t="shared" si="3"/>
        <v>0</v>
      </c>
      <c r="AA18" s="100">
        <f t="shared" si="3"/>
        <v>0</v>
      </c>
      <c r="AB18" s="100">
        <f t="shared" si="3"/>
        <v>0</v>
      </c>
      <c r="AC18" s="100">
        <f t="shared" si="3"/>
        <v>0</v>
      </c>
      <c r="AD18" s="100">
        <f t="shared" si="3"/>
        <v>0</v>
      </c>
      <c r="AE18" s="100">
        <f t="shared" si="3"/>
        <v>0</v>
      </c>
      <c r="AF18" s="100">
        <f t="shared" si="3"/>
        <v>0</v>
      </c>
      <c r="AG18" s="100">
        <f t="shared" si="3"/>
        <v>0</v>
      </c>
      <c r="AH18" s="100">
        <f t="shared" si="3"/>
        <v>0</v>
      </c>
      <c r="AI18" s="100">
        <f t="shared" si="3"/>
        <v>0</v>
      </c>
      <c r="AJ18" s="100">
        <f t="shared" si="3"/>
        <v>0</v>
      </c>
      <c r="AK18" s="100">
        <f t="shared" si="3"/>
        <v>0</v>
      </c>
      <c r="AL18" s="100">
        <f t="shared" si="3"/>
        <v>0</v>
      </c>
      <c r="AM18" s="100">
        <f t="shared" si="3"/>
        <v>0</v>
      </c>
      <c r="AN18" s="100">
        <f t="shared" si="3"/>
        <v>0</v>
      </c>
      <c r="AO18" s="100">
        <f t="shared" si="3"/>
        <v>0</v>
      </c>
      <c r="AP18" s="100">
        <f t="shared" si="3"/>
        <v>0</v>
      </c>
      <c r="AQ18" s="100">
        <f t="shared" si="3"/>
        <v>0</v>
      </c>
      <c r="AR18" s="100">
        <f t="shared" si="3"/>
        <v>0</v>
      </c>
      <c r="AS18" s="100">
        <f t="shared" si="3"/>
        <v>0</v>
      </c>
      <c r="AT18" s="100">
        <f t="shared" si="3"/>
        <v>0</v>
      </c>
      <c r="AU18" s="100">
        <f t="shared" si="3"/>
        <v>0</v>
      </c>
      <c r="AV18" s="100">
        <f t="shared" si="3"/>
        <v>0</v>
      </c>
      <c r="AW18" s="100">
        <f t="shared" si="3"/>
        <v>0</v>
      </c>
      <c r="AX18" s="100">
        <f t="shared" si="0"/>
        <v>0</v>
      </c>
      <c r="AY18" s="91" t="s">
        <v>147</v>
      </c>
      <c r="AZ18" s="91"/>
    </row>
    <row r="19" spans="1:52" ht="15.75" x14ac:dyDescent="0.25">
      <c r="A19" s="90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91"/>
      <c r="AZ19" s="91"/>
    </row>
    <row r="20" spans="1:52" ht="15.75" x14ac:dyDescent="0.25">
      <c r="A20" s="90" t="s">
        <v>148</v>
      </c>
      <c r="B20" s="100">
        <f>SUM(B18)</f>
        <v>0</v>
      </c>
      <c r="C20" s="100">
        <f>SUM(B20+C18+B22)</f>
        <v>0</v>
      </c>
      <c r="D20" s="100">
        <f t="shared" ref="D20:AW20" si="4">SUM(C20+D18+C22)</f>
        <v>0</v>
      </c>
      <c r="E20" s="100">
        <f t="shared" si="4"/>
        <v>0</v>
      </c>
      <c r="F20" s="100">
        <f t="shared" si="4"/>
        <v>0</v>
      </c>
      <c r="G20" s="100">
        <f t="shared" si="4"/>
        <v>0</v>
      </c>
      <c r="H20" s="100">
        <f t="shared" si="4"/>
        <v>0</v>
      </c>
      <c r="I20" s="100">
        <f t="shared" si="4"/>
        <v>0</v>
      </c>
      <c r="J20" s="100">
        <f t="shared" si="4"/>
        <v>0</v>
      </c>
      <c r="K20" s="100">
        <f t="shared" si="4"/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100">
        <f t="shared" si="4"/>
        <v>0</v>
      </c>
      <c r="P20" s="100">
        <f t="shared" si="4"/>
        <v>0</v>
      </c>
      <c r="Q20" s="100">
        <f t="shared" si="4"/>
        <v>0</v>
      </c>
      <c r="R20" s="100">
        <f t="shared" si="4"/>
        <v>0</v>
      </c>
      <c r="S20" s="100">
        <f t="shared" si="4"/>
        <v>0</v>
      </c>
      <c r="T20" s="100">
        <f t="shared" si="4"/>
        <v>0</v>
      </c>
      <c r="U20" s="100">
        <f t="shared" si="4"/>
        <v>0</v>
      </c>
      <c r="V20" s="100">
        <f t="shared" si="4"/>
        <v>0</v>
      </c>
      <c r="W20" s="100">
        <f t="shared" si="4"/>
        <v>0</v>
      </c>
      <c r="X20" s="100">
        <f t="shared" si="4"/>
        <v>0</v>
      </c>
      <c r="Y20" s="100">
        <f t="shared" si="4"/>
        <v>0</v>
      </c>
      <c r="Z20" s="100">
        <f t="shared" si="4"/>
        <v>0</v>
      </c>
      <c r="AA20" s="100">
        <f t="shared" si="4"/>
        <v>0</v>
      </c>
      <c r="AB20" s="100">
        <f t="shared" si="4"/>
        <v>0</v>
      </c>
      <c r="AC20" s="100">
        <f t="shared" si="4"/>
        <v>0</v>
      </c>
      <c r="AD20" s="100">
        <f t="shared" si="4"/>
        <v>0</v>
      </c>
      <c r="AE20" s="100">
        <f t="shared" si="4"/>
        <v>0</v>
      </c>
      <c r="AF20" s="100">
        <f t="shared" si="4"/>
        <v>0</v>
      </c>
      <c r="AG20" s="100">
        <f t="shared" si="4"/>
        <v>0</v>
      </c>
      <c r="AH20" s="100">
        <f t="shared" si="4"/>
        <v>0</v>
      </c>
      <c r="AI20" s="100">
        <f t="shared" si="4"/>
        <v>0</v>
      </c>
      <c r="AJ20" s="100">
        <f t="shared" si="4"/>
        <v>0</v>
      </c>
      <c r="AK20" s="100">
        <f t="shared" si="4"/>
        <v>0</v>
      </c>
      <c r="AL20" s="100">
        <f t="shared" si="4"/>
        <v>0</v>
      </c>
      <c r="AM20" s="100">
        <f t="shared" si="4"/>
        <v>0</v>
      </c>
      <c r="AN20" s="100">
        <f t="shared" si="4"/>
        <v>0</v>
      </c>
      <c r="AO20" s="100">
        <f t="shared" si="4"/>
        <v>0</v>
      </c>
      <c r="AP20" s="100">
        <f t="shared" si="4"/>
        <v>0</v>
      </c>
      <c r="AQ20" s="100">
        <f t="shared" si="4"/>
        <v>0</v>
      </c>
      <c r="AR20" s="100">
        <f t="shared" si="4"/>
        <v>0</v>
      </c>
      <c r="AS20" s="100">
        <f t="shared" si="4"/>
        <v>0</v>
      </c>
      <c r="AT20" s="100">
        <f t="shared" si="4"/>
        <v>0</v>
      </c>
      <c r="AU20" s="100">
        <f t="shared" si="4"/>
        <v>0</v>
      </c>
      <c r="AV20" s="100">
        <f t="shared" si="4"/>
        <v>0</v>
      </c>
      <c r="AW20" s="100">
        <f t="shared" si="4"/>
        <v>0</v>
      </c>
      <c r="AX20" s="100">
        <f t="shared" si="0"/>
        <v>0</v>
      </c>
      <c r="AY20" s="91" t="s">
        <v>148</v>
      </c>
      <c r="AZ20" s="91"/>
    </row>
    <row r="21" spans="1:52" ht="15.75" x14ac:dyDescent="0.25">
      <c r="A21" s="9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91"/>
      <c r="AZ21" s="91"/>
    </row>
    <row r="22" spans="1:52" ht="15.75" x14ac:dyDescent="0.25">
      <c r="A22" s="90" t="s">
        <v>149</v>
      </c>
      <c r="B22" s="100">
        <f>SUM(B20)*7%/12</f>
        <v>0</v>
      </c>
      <c r="C22" s="100">
        <f>SUM(C20)*7%/12</f>
        <v>0</v>
      </c>
      <c r="D22" s="100">
        <f t="shared" ref="D22:AW22" si="5">SUM(D20)*7%/12</f>
        <v>0</v>
      </c>
      <c r="E22" s="100">
        <f t="shared" si="5"/>
        <v>0</v>
      </c>
      <c r="F22" s="100">
        <f t="shared" si="5"/>
        <v>0</v>
      </c>
      <c r="G22" s="100">
        <f t="shared" si="5"/>
        <v>0</v>
      </c>
      <c r="H22" s="100">
        <f t="shared" si="5"/>
        <v>0</v>
      </c>
      <c r="I22" s="100">
        <f t="shared" si="5"/>
        <v>0</v>
      </c>
      <c r="J22" s="100">
        <f t="shared" si="5"/>
        <v>0</v>
      </c>
      <c r="K22" s="100">
        <f t="shared" si="5"/>
        <v>0</v>
      </c>
      <c r="L22" s="100">
        <f t="shared" si="5"/>
        <v>0</v>
      </c>
      <c r="M22" s="100">
        <f t="shared" si="5"/>
        <v>0</v>
      </c>
      <c r="N22" s="100">
        <f t="shared" si="5"/>
        <v>0</v>
      </c>
      <c r="O22" s="100">
        <f t="shared" si="5"/>
        <v>0</v>
      </c>
      <c r="P22" s="100">
        <f t="shared" si="5"/>
        <v>0</v>
      </c>
      <c r="Q22" s="100">
        <f t="shared" si="5"/>
        <v>0</v>
      </c>
      <c r="R22" s="100">
        <f t="shared" si="5"/>
        <v>0</v>
      </c>
      <c r="S22" s="100">
        <f t="shared" si="5"/>
        <v>0</v>
      </c>
      <c r="T22" s="100">
        <f t="shared" si="5"/>
        <v>0</v>
      </c>
      <c r="U22" s="100">
        <f t="shared" si="5"/>
        <v>0</v>
      </c>
      <c r="V22" s="100">
        <f t="shared" si="5"/>
        <v>0</v>
      </c>
      <c r="W22" s="100">
        <f t="shared" si="5"/>
        <v>0</v>
      </c>
      <c r="X22" s="100">
        <f t="shared" si="5"/>
        <v>0</v>
      </c>
      <c r="Y22" s="100">
        <f t="shared" si="5"/>
        <v>0</v>
      </c>
      <c r="Z22" s="100">
        <f t="shared" si="5"/>
        <v>0</v>
      </c>
      <c r="AA22" s="100">
        <f t="shared" si="5"/>
        <v>0</v>
      </c>
      <c r="AB22" s="100">
        <f t="shared" si="5"/>
        <v>0</v>
      </c>
      <c r="AC22" s="100">
        <f t="shared" si="5"/>
        <v>0</v>
      </c>
      <c r="AD22" s="100">
        <f t="shared" si="5"/>
        <v>0</v>
      </c>
      <c r="AE22" s="100">
        <f t="shared" si="5"/>
        <v>0</v>
      </c>
      <c r="AF22" s="100">
        <f t="shared" si="5"/>
        <v>0</v>
      </c>
      <c r="AG22" s="100">
        <f t="shared" si="5"/>
        <v>0</v>
      </c>
      <c r="AH22" s="100">
        <f t="shared" si="5"/>
        <v>0</v>
      </c>
      <c r="AI22" s="100">
        <f t="shared" si="5"/>
        <v>0</v>
      </c>
      <c r="AJ22" s="100">
        <f t="shared" si="5"/>
        <v>0</v>
      </c>
      <c r="AK22" s="100">
        <f t="shared" si="5"/>
        <v>0</v>
      </c>
      <c r="AL22" s="100">
        <f t="shared" si="5"/>
        <v>0</v>
      </c>
      <c r="AM22" s="100">
        <f t="shared" si="5"/>
        <v>0</v>
      </c>
      <c r="AN22" s="100">
        <f t="shared" si="5"/>
        <v>0</v>
      </c>
      <c r="AO22" s="100">
        <f t="shared" si="5"/>
        <v>0</v>
      </c>
      <c r="AP22" s="100">
        <f t="shared" si="5"/>
        <v>0</v>
      </c>
      <c r="AQ22" s="100">
        <f t="shared" si="5"/>
        <v>0</v>
      </c>
      <c r="AR22" s="100">
        <f t="shared" si="5"/>
        <v>0</v>
      </c>
      <c r="AS22" s="100">
        <f t="shared" si="5"/>
        <v>0</v>
      </c>
      <c r="AT22" s="100">
        <f t="shared" si="5"/>
        <v>0</v>
      </c>
      <c r="AU22" s="100">
        <f t="shared" si="5"/>
        <v>0</v>
      </c>
      <c r="AV22" s="100">
        <f t="shared" si="5"/>
        <v>0</v>
      </c>
      <c r="AW22" s="100">
        <f t="shared" si="5"/>
        <v>0</v>
      </c>
      <c r="AX22" s="100">
        <f t="shared" si="0"/>
        <v>0</v>
      </c>
      <c r="AY22" s="91" t="s">
        <v>149</v>
      </c>
      <c r="AZ22" s="91"/>
    </row>
    <row r="23" spans="1:52" x14ac:dyDescent="0.25"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91"/>
      <c r="AZ23" s="91"/>
    </row>
    <row r="24" spans="1:52" x14ac:dyDescent="0.25"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</row>
    <row r="25" spans="1:52" x14ac:dyDescent="0.25"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</row>
    <row r="26" spans="1:52" x14ac:dyDescent="0.25"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</row>
    <row r="27" spans="1:52" ht="15.75" x14ac:dyDescent="0.25">
      <c r="A27" s="90" t="s">
        <v>163</v>
      </c>
      <c r="B27" s="115"/>
      <c r="C27" s="115"/>
      <c r="D27" s="91"/>
      <c r="E27" s="91"/>
      <c r="F27" s="91"/>
      <c r="G27" s="91"/>
      <c r="H27" s="91"/>
      <c r="I27" s="91"/>
      <c r="J27" s="91"/>
      <c r="K27" s="91"/>
      <c r="L27" s="91"/>
      <c r="M27" s="91" t="s">
        <v>52</v>
      </c>
      <c r="N27" s="91"/>
      <c r="O27" s="112">
        <f>SUM('Residential Costs'!B27+'Commercial Costs'!B26)</f>
        <v>215706750</v>
      </c>
      <c r="P27" s="91"/>
      <c r="Q27" s="91" t="s">
        <v>150</v>
      </c>
      <c r="R27" s="91"/>
      <c r="S27" s="91"/>
      <c r="T27" s="91">
        <f>SUM('Residential Costs'!G37)</f>
        <v>81</v>
      </c>
      <c r="U27" s="91" t="s">
        <v>115</v>
      </c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</row>
    <row r="28" spans="1:52" ht="15.75" x14ac:dyDescent="0.25">
      <c r="A28" s="42"/>
      <c r="B28" s="115"/>
      <c r="C28" s="115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</row>
    <row r="29" spans="1:52" ht="15.75" x14ac:dyDescent="0.25">
      <c r="A29" s="42" t="s">
        <v>142</v>
      </c>
      <c r="B29" s="113">
        <f>SUM(AX7)</f>
        <v>0</v>
      </c>
      <c r="C29" s="115"/>
      <c r="D29" s="91"/>
      <c r="E29" s="91"/>
      <c r="F29" s="91"/>
      <c r="G29" s="91"/>
      <c r="H29" s="91"/>
      <c r="I29" s="91"/>
      <c r="J29" s="91"/>
      <c r="K29" s="91"/>
      <c r="L29" s="91"/>
      <c r="M29" s="93" t="s">
        <v>151</v>
      </c>
      <c r="N29" s="91"/>
      <c r="O29" s="117">
        <f>SUM(O27/T27)</f>
        <v>2663046.2962962962</v>
      </c>
      <c r="P29" s="91"/>
      <c r="Q29" s="91" t="s">
        <v>155</v>
      </c>
      <c r="R29" s="91"/>
      <c r="S29" s="91"/>
      <c r="T29" s="91">
        <f>SUM('Residential Costs'!G40)</f>
        <v>102</v>
      </c>
      <c r="U29" s="91" t="s">
        <v>115</v>
      </c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</row>
    <row r="30" spans="1:52" ht="15.75" x14ac:dyDescent="0.25">
      <c r="A30" s="42" t="s">
        <v>143</v>
      </c>
      <c r="B30" s="113">
        <f>SUM(AX8)</f>
        <v>0</v>
      </c>
      <c r="C30" s="115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</row>
    <row r="31" spans="1:52" ht="15.75" x14ac:dyDescent="0.25">
      <c r="A31" s="42" t="s">
        <v>164</v>
      </c>
      <c r="B31" s="113">
        <f>SUM(AX9)</f>
        <v>0</v>
      </c>
      <c r="C31" s="115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</row>
    <row r="32" spans="1:52" ht="15.75" x14ac:dyDescent="0.25">
      <c r="A32" s="42" t="s">
        <v>165</v>
      </c>
      <c r="B32" s="113">
        <f>SUM(AX10)</f>
        <v>0</v>
      </c>
      <c r="C32" s="115"/>
      <c r="D32" s="91"/>
      <c r="E32" s="91"/>
      <c r="F32" s="91"/>
      <c r="G32" s="91"/>
      <c r="H32" s="91"/>
      <c r="I32" s="91"/>
      <c r="J32" s="91"/>
      <c r="K32" s="91"/>
      <c r="L32" s="91"/>
      <c r="M32" s="93" t="s">
        <v>152</v>
      </c>
      <c r="N32" s="91"/>
      <c r="O32" s="112">
        <f>SUM('Residential Costs'!B45+'Commercial Costs'!B44)</f>
        <v>22938697.250588715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</row>
    <row r="33" spans="1:52" ht="15.75" x14ac:dyDescent="0.25">
      <c r="A33" s="42" t="s">
        <v>146</v>
      </c>
      <c r="B33" s="113">
        <f>SUM(AX11)</f>
        <v>0</v>
      </c>
      <c r="C33" s="115"/>
      <c r="D33" s="91"/>
      <c r="E33" s="91"/>
      <c r="F33" s="91"/>
      <c r="G33" s="91"/>
      <c r="H33" s="91"/>
      <c r="I33" s="91"/>
      <c r="J33" s="91"/>
      <c r="K33" s="91"/>
      <c r="L33" s="91"/>
      <c r="M33" s="91" t="s">
        <v>157</v>
      </c>
      <c r="N33" s="91"/>
      <c r="O33" s="112">
        <f>SUM(O32/T29)</f>
        <v>224889.18873126191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</row>
    <row r="34" spans="1:5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 t="s">
        <v>153</v>
      </c>
      <c r="N34" s="91"/>
      <c r="O34" s="112">
        <f>SUM('Residential Costs'!B69+'Commercial Costs'!B66)</f>
        <v>57335299.433830723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</row>
    <row r="35" spans="1:52" ht="15.75" x14ac:dyDescent="0.25">
      <c r="A35" s="42" t="s">
        <v>31</v>
      </c>
      <c r="B35" s="100">
        <f>SUM(AX13)</f>
        <v>0</v>
      </c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</row>
    <row r="36" spans="1:5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3" t="s">
        <v>154</v>
      </c>
      <c r="N36" s="91"/>
      <c r="O36" s="117">
        <f>SUM(O34/T29)</f>
        <v>562110.77876304626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</row>
    <row r="37" spans="1:52" ht="15.75" x14ac:dyDescent="0.25">
      <c r="A37" s="42" t="s">
        <v>166</v>
      </c>
      <c r="B37" s="100">
        <f>SUM(AX15)</f>
        <v>0</v>
      </c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</row>
    <row r="38" spans="1:52" x14ac:dyDescent="0.25">
      <c r="A38" s="16" t="s">
        <v>167</v>
      </c>
      <c r="B38" s="118">
        <f>SUM(AX16)</f>
        <v>0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3" t="s">
        <v>156</v>
      </c>
      <c r="N38" s="91"/>
      <c r="O38" s="117">
        <f>SUM('Residential Costs'!B37+'Commercial Costs'!B36)</f>
        <v>8548988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</row>
    <row r="39" spans="1:52" x14ac:dyDescent="0.25">
      <c r="A39" s="16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3"/>
      <c r="N39" s="91"/>
      <c r="O39" s="117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</row>
    <row r="40" spans="1:52" x14ac:dyDescent="0.25">
      <c r="A40" s="16" t="s">
        <v>161</v>
      </c>
      <c r="B40" s="100">
        <f>SUM(AX17)</f>
        <v>0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3" t="s">
        <v>158</v>
      </c>
      <c r="N40" s="91"/>
      <c r="O40" s="118">
        <f>SUM('Residential Revenue'!J123)</f>
        <v>210488499</v>
      </c>
      <c r="P40" s="91"/>
      <c r="Q40" s="93" t="s">
        <v>162</v>
      </c>
      <c r="R40" s="93"/>
      <c r="S40" s="118">
        <f>SUM(O40/Summary!B10)</f>
        <v>339497.57903225807</v>
      </c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</row>
    <row r="41" spans="1:52" x14ac:dyDescent="0.25">
      <c r="A41" s="16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3" t="s">
        <v>159</v>
      </c>
      <c r="N41" s="91"/>
      <c r="O41" s="118">
        <f>SUM(' Commercial Revenue'!E24)</f>
        <v>101583997.55887148</v>
      </c>
      <c r="P41" s="91"/>
      <c r="Q41" s="91" t="s">
        <v>169</v>
      </c>
      <c r="R41" s="91"/>
      <c r="S41" s="100">
        <f>SUM(S40*10%)</f>
        <v>33949.757903225807</v>
      </c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</row>
    <row r="42" spans="1:52" x14ac:dyDescent="0.25">
      <c r="A42" s="16" t="s">
        <v>168</v>
      </c>
      <c r="B42" s="100">
        <f>SUM(AX22)</f>
        <v>0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 t="s">
        <v>170</v>
      </c>
      <c r="R42" s="91"/>
      <c r="S42" s="100">
        <f>SUM(S40-S41)</f>
        <v>305547.82112903229</v>
      </c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</row>
    <row r="43" spans="1:52" x14ac:dyDescent="0.25"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3" t="s">
        <v>0</v>
      </c>
      <c r="N43" s="91"/>
      <c r="O43" s="118">
        <f>SUM('Residential Revenue'!J123+' Commercial Revenue'!E24)</f>
        <v>312072496.55887151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</row>
  </sheetData>
  <sheetProtection algorithmName="SHA-512" hashValue="fIU/XQZyNUgF+Tmo2ZGvfqlA6V1MJWfo1L8cloniDE8KFUP4RoH4lDJONYB1or2GWV/kBHj2VzRG1duMZmFFbg==" saltValue="cpywvlBhIDVjqQwp/b06iw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Residential Revenue</vt:lpstr>
      <vt:lpstr>Residential Costs</vt:lpstr>
      <vt:lpstr> Commercial Revenue</vt:lpstr>
      <vt:lpstr>Commercial Costs</vt:lpstr>
      <vt:lpstr>Land </vt:lpstr>
      <vt:lpstr>Residential DCF</vt:lpstr>
      <vt:lpstr>Commercial DCF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Doylend</dc:creator>
  <cp:lastModifiedBy>Steph</cp:lastModifiedBy>
  <cp:lastPrinted>2020-06-29T15:54:15Z</cp:lastPrinted>
  <dcterms:created xsi:type="dcterms:W3CDTF">2011-11-15T10:27:37Z</dcterms:created>
  <dcterms:modified xsi:type="dcterms:W3CDTF">2020-06-29T15:54:17Z</dcterms:modified>
</cp:coreProperties>
</file>